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4240" windowHeight="12270"/>
  </bookViews>
  <sheets>
    <sheet name="apdare" sheetId="1" r:id="rId1"/>
    <sheet name="durvis" sheetId="2" r:id="rId2"/>
    <sheet name="logi" sheetId="3" r:id="rId3"/>
    <sheet name="lapene" sheetId="4" r:id="rId4"/>
    <sheet name="NOJUME" sheetId="5" r:id="rId5"/>
  </sheets>
  <calcPr calcId="125725"/>
</workbook>
</file>

<file path=xl/calcChain.xml><?xml version="1.0" encoding="utf-8"?>
<calcChain xmlns="http://schemas.openxmlformats.org/spreadsheetml/2006/main">
  <c r="L34" i="1"/>
  <c r="M34" s="1"/>
  <c r="H18" i="5"/>
  <c r="E17"/>
  <c r="I17" s="1"/>
  <c r="J17" s="1"/>
  <c r="H17"/>
  <c r="E13"/>
  <c r="I13" s="1"/>
  <c r="H13"/>
  <c r="E14"/>
  <c r="I14" s="1"/>
  <c r="H14"/>
  <c r="F10"/>
  <c r="H10" s="1"/>
  <c r="E8"/>
  <c r="I8" s="1"/>
  <c r="H8"/>
  <c r="E9"/>
  <c r="I9" s="1"/>
  <c r="H9"/>
  <c r="E18"/>
  <c r="I18" s="1"/>
  <c r="H16"/>
  <c r="E16"/>
  <c r="I16" s="1"/>
  <c r="H15"/>
  <c r="E15"/>
  <c r="I15" s="1"/>
  <c r="H12"/>
  <c r="E12"/>
  <c r="I12" s="1"/>
  <c r="H11"/>
  <c r="E11"/>
  <c r="I11" s="1"/>
  <c r="E10"/>
  <c r="I10" s="1"/>
  <c r="H7"/>
  <c r="E7"/>
  <c r="I7" s="1"/>
  <c r="H18" i="4"/>
  <c r="H13"/>
  <c r="J13" s="1"/>
  <c r="E13"/>
  <c r="I13" s="1"/>
  <c r="F15"/>
  <c r="F16"/>
  <c r="F14"/>
  <c r="H14" s="1"/>
  <c r="H12"/>
  <c r="J12" s="1"/>
  <c r="E12"/>
  <c r="I12" s="1"/>
  <c r="E8"/>
  <c r="I8" s="1"/>
  <c r="E9"/>
  <c r="E10"/>
  <c r="I10" s="1"/>
  <c r="E11"/>
  <c r="E14"/>
  <c r="I14" s="1"/>
  <c r="E15"/>
  <c r="I15" s="1"/>
  <c r="E16"/>
  <c r="I16" s="1"/>
  <c r="E17"/>
  <c r="E18"/>
  <c r="I18" s="1"/>
  <c r="E7"/>
  <c r="H17"/>
  <c r="I17"/>
  <c r="J17" s="1"/>
  <c r="H16"/>
  <c r="H15"/>
  <c r="H11"/>
  <c r="I11"/>
  <c r="J11" s="1"/>
  <c r="H10"/>
  <c r="H9"/>
  <c r="I9"/>
  <c r="H8"/>
  <c r="H7"/>
  <c r="I7"/>
  <c r="E52" i="1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31" s="1"/>
  <c r="E54" s="1"/>
  <c r="E29"/>
  <c r="E30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6"/>
  <c r="O7"/>
  <c r="J42"/>
  <c r="J18"/>
  <c r="J25"/>
  <c r="J30"/>
  <c r="M30" s="1"/>
  <c r="K30"/>
  <c r="G30"/>
  <c r="C30"/>
  <c r="P30" s="1"/>
  <c r="C23" i="2"/>
  <c r="C13" i="3"/>
  <c r="J51" i="1"/>
  <c r="K51"/>
  <c r="K50"/>
  <c r="K49"/>
  <c r="K48"/>
  <c r="P38"/>
  <c r="P39"/>
  <c r="P40"/>
  <c r="P41"/>
  <c r="P42"/>
  <c r="P43"/>
  <c r="P44"/>
  <c r="P45"/>
  <c r="P46"/>
  <c r="P47"/>
  <c r="P48"/>
  <c r="P49"/>
  <c r="P50"/>
  <c r="P51"/>
  <c r="P22"/>
  <c r="P23"/>
  <c r="P24"/>
  <c r="P25"/>
  <c r="P26"/>
  <c r="P27"/>
  <c r="P28"/>
  <c r="P29"/>
  <c r="P34"/>
  <c r="P35"/>
  <c r="P14"/>
  <c r="P15"/>
  <c r="P16"/>
  <c r="P17"/>
  <c r="P18"/>
  <c r="P6"/>
  <c r="P8"/>
  <c r="J47"/>
  <c r="K47"/>
  <c r="J46"/>
  <c r="K46"/>
  <c r="K45"/>
  <c r="K44"/>
  <c r="K43"/>
  <c r="K42"/>
  <c r="J41"/>
  <c r="K41"/>
  <c r="K40"/>
  <c r="K39"/>
  <c r="K38"/>
  <c r="K37"/>
  <c r="J35"/>
  <c r="K35"/>
  <c r="J34"/>
  <c r="K34"/>
  <c r="J33"/>
  <c r="K33"/>
  <c r="J29"/>
  <c r="K29"/>
  <c r="J28"/>
  <c r="K28"/>
  <c r="J27"/>
  <c r="K27"/>
  <c r="K25"/>
  <c r="J24"/>
  <c r="K24"/>
  <c r="J23"/>
  <c r="K23"/>
  <c r="K22"/>
  <c r="K21"/>
  <c r="K20"/>
  <c r="K19"/>
  <c r="K18"/>
  <c r="K17"/>
  <c r="J14"/>
  <c r="K14"/>
  <c r="K13"/>
  <c r="G13" s="1"/>
  <c r="K12"/>
  <c r="K11"/>
  <c r="K10"/>
  <c r="K9"/>
  <c r="J8"/>
  <c r="K8"/>
  <c r="F18" i="2"/>
  <c r="G18"/>
  <c r="H18" s="1"/>
  <c r="F19"/>
  <c r="G19"/>
  <c r="H19" s="1"/>
  <c r="K7" i="1"/>
  <c r="J6"/>
  <c r="K6"/>
  <c r="G6" s="1"/>
  <c r="F9" i="3"/>
  <c r="E9"/>
  <c r="E8"/>
  <c r="E7"/>
  <c r="F7" s="1"/>
  <c r="E6"/>
  <c r="E5"/>
  <c r="F5" s="1"/>
  <c r="E4"/>
  <c r="F13" i="2"/>
  <c r="F14"/>
  <c r="H27" i="1"/>
  <c r="F6" i="2"/>
  <c r="G6"/>
  <c r="H6"/>
  <c r="F7"/>
  <c r="G7"/>
  <c r="F8"/>
  <c r="G8"/>
  <c r="H8" s="1"/>
  <c r="F9"/>
  <c r="G9"/>
  <c r="F10"/>
  <c r="G10"/>
  <c r="F11"/>
  <c r="G11"/>
  <c r="H11" s="1"/>
  <c r="F12"/>
  <c r="G12"/>
  <c r="H12"/>
  <c r="G13"/>
  <c r="J7" i="1" s="1"/>
  <c r="M7" s="1"/>
  <c r="G14" i="2"/>
  <c r="F15"/>
  <c r="G15"/>
  <c r="F16"/>
  <c r="G16"/>
  <c r="H16" s="1"/>
  <c r="F17"/>
  <c r="G17"/>
  <c r="H5"/>
  <c r="G5"/>
  <c r="F5"/>
  <c r="G7" i="1"/>
  <c r="G8"/>
  <c r="G9"/>
  <c r="G10"/>
  <c r="G11"/>
  <c r="G12"/>
  <c r="G14"/>
  <c r="G15"/>
  <c r="G16"/>
  <c r="G17"/>
  <c r="G18"/>
  <c r="G19"/>
  <c r="G20"/>
  <c r="G21"/>
  <c r="G22"/>
  <c r="G23"/>
  <c r="G24"/>
  <c r="G25"/>
  <c r="G26"/>
  <c r="G27"/>
  <c r="G28"/>
  <c r="G29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M51"/>
  <c r="M47"/>
  <c r="M43"/>
  <c r="M42"/>
  <c r="M41"/>
  <c r="M38"/>
  <c r="M35"/>
  <c r="M23"/>
  <c r="M24"/>
  <c r="M25"/>
  <c r="M26"/>
  <c r="M27"/>
  <c r="M28"/>
  <c r="M29"/>
  <c r="M22"/>
  <c r="M15"/>
  <c r="M16"/>
  <c r="M17"/>
  <c r="M18"/>
  <c r="M14"/>
  <c r="M8"/>
  <c r="M6"/>
  <c r="L44"/>
  <c r="M44" s="1"/>
  <c r="L45"/>
  <c r="M45" s="1"/>
  <c r="L46"/>
  <c r="M46" s="1"/>
  <c r="L48"/>
  <c r="M48" s="1"/>
  <c r="L49"/>
  <c r="M49" s="1"/>
  <c r="L50"/>
  <c r="M50" s="1"/>
  <c r="L10"/>
  <c r="M10" s="1"/>
  <c r="L11"/>
  <c r="M11" s="1"/>
  <c r="L12"/>
  <c r="M12" s="1"/>
  <c r="L13"/>
  <c r="M13" s="1"/>
  <c r="L19"/>
  <c r="M19" s="1"/>
  <c r="L20"/>
  <c r="M20" s="1"/>
  <c r="L21"/>
  <c r="M21" s="1"/>
  <c r="L36"/>
  <c r="M36" s="1"/>
  <c r="L37"/>
  <c r="M37" s="1"/>
  <c r="L39"/>
  <c r="M39" s="1"/>
  <c r="L40"/>
  <c r="M40" s="1"/>
  <c r="L9"/>
  <c r="M9" s="1"/>
  <c r="P37"/>
  <c r="P20"/>
  <c r="P21"/>
  <c r="P19"/>
  <c r="P10"/>
  <c r="P11"/>
  <c r="P12"/>
  <c r="P13"/>
  <c r="P9"/>
  <c r="C31"/>
  <c r="C52"/>
  <c r="J9" i="5" l="1"/>
  <c r="J18"/>
  <c r="J14"/>
  <c r="J13"/>
  <c r="J12"/>
  <c r="J11"/>
  <c r="J15"/>
  <c r="J10"/>
  <c r="J7"/>
  <c r="J16"/>
  <c r="J8"/>
  <c r="J15" i="4"/>
  <c r="J16"/>
  <c r="J14"/>
  <c r="J10"/>
  <c r="J9"/>
  <c r="J8"/>
  <c r="J7"/>
  <c r="J18"/>
  <c r="F4" i="3"/>
  <c r="F6"/>
  <c r="F8"/>
  <c r="F10" s="1"/>
  <c r="H17" i="2"/>
  <c r="H15"/>
  <c r="H14"/>
  <c r="H13"/>
  <c r="H20" s="1"/>
  <c r="H10"/>
  <c r="H9"/>
  <c r="H7"/>
  <c r="C54" i="1"/>
  <c r="J19" i="5" l="1"/>
  <c r="J19" i="4"/>
</calcChain>
</file>

<file path=xl/sharedStrings.xml><?xml version="1.0" encoding="utf-8"?>
<sst xmlns="http://schemas.openxmlformats.org/spreadsheetml/2006/main" count="272" uniqueCount="108">
  <si>
    <t>Telpas nr.</t>
  </si>
  <si>
    <t>Grīda</t>
  </si>
  <si>
    <t>Pamatne</t>
  </si>
  <si>
    <t>Finiša apdare</t>
  </si>
  <si>
    <t>Grīdlīstes</t>
  </si>
  <si>
    <t>Griesti</t>
  </si>
  <si>
    <t>Gaitenis</t>
  </si>
  <si>
    <t>Vējtveris</t>
  </si>
  <si>
    <t>Priekštelpa</t>
  </si>
  <si>
    <t>Virtuves telpa</t>
  </si>
  <si>
    <t>Palīgtelpa</t>
  </si>
  <si>
    <t>Tualete</t>
  </si>
  <si>
    <t>Akmens flīzes</t>
  </si>
  <si>
    <t>Linolejs 43. klase</t>
  </si>
  <si>
    <t>Keramiskās grīdas flīzes</t>
  </si>
  <si>
    <t>gar.,m</t>
  </si>
  <si>
    <t>koka, lakota</t>
  </si>
  <si>
    <t>Sienas</t>
  </si>
  <si>
    <t>flīzes</t>
  </si>
  <si>
    <t>Otrā stāva  telpas</t>
  </si>
  <si>
    <t>Pirmā stāva  telpas</t>
  </si>
  <si>
    <t>Kāpņu telpa</t>
  </si>
  <si>
    <t>Ratiņu novietošanas telpa</t>
  </si>
  <si>
    <t>Apkopējas inventāra telpa</t>
  </si>
  <si>
    <t>Invalīdu tualete</t>
  </si>
  <si>
    <t>Tualetes priekštelpa</t>
  </si>
  <si>
    <t>Ģērbtuve</t>
  </si>
  <si>
    <t>Grupas telpa</t>
  </si>
  <si>
    <t>Mājturības kabinets zēniem</t>
  </si>
  <si>
    <t>Mājturības kabinets meitenēm</t>
  </si>
  <si>
    <t>Saimniecības telpa</t>
  </si>
  <si>
    <t>Materiālu noliktava</t>
  </si>
  <si>
    <t>Masāžas telpa</t>
  </si>
  <si>
    <t>Grupas ģērbtuve</t>
  </si>
  <si>
    <t>Grupas telpa 4 gadu bērniem</t>
  </si>
  <si>
    <t>Zāle</t>
  </si>
  <si>
    <t>Grupas telpa 5 gadu bērniem</t>
  </si>
  <si>
    <t>Grupas telpa 6 gadu bērniem</t>
  </si>
  <si>
    <t>dz/b panelis</t>
  </si>
  <si>
    <t>Akmens masa flīzes</t>
  </si>
  <si>
    <t>parametri</t>
  </si>
  <si>
    <t>grīda</t>
  </si>
  <si>
    <t>perimetrs</t>
  </si>
  <si>
    <t>laukums</t>
  </si>
  <si>
    <t>H</t>
  </si>
  <si>
    <t>koka brusas</t>
  </si>
  <si>
    <t>betona, pretputekļu apstrāde</t>
  </si>
  <si>
    <t>Telplas platība, m2</t>
  </si>
  <si>
    <t>špaktelēt, Krāsot, m2</t>
  </si>
  <si>
    <t>Plat.</t>
  </si>
  <si>
    <t>augst.</t>
  </si>
  <si>
    <t>Kreisās</t>
  </si>
  <si>
    <t>labās</t>
  </si>
  <si>
    <t>kopā</t>
  </si>
  <si>
    <t>lauk.</t>
  </si>
  <si>
    <t>kopējais</t>
  </si>
  <si>
    <t>APZĪM</t>
  </si>
  <si>
    <t>D7</t>
  </si>
  <si>
    <t>D8</t>
  </si>
  <si>
    <t>D9</t>
  </si>
  <si>
    <t>D9A</t>
  </si>
  <si>
    <t>D9U</t>
  </si>
  <si>
    <t>D10</t>
  </si>
  <si>
    <t>D10a</t>
  </si>
  <si>
    <t>D10aS</t>
  </si>
  <si>
    <t>D10aSU</t>
  </si>
  <si>
    <t>D10SU*</t>
  </si>
  <si>
    <t>D10SU</t>
  </si>
  <si>
    <t>L1</t>
  </si>
  <si>
    <t>L2</t>
  </si>
  <si>
    <t>L3</t>
  </si>
  <si>
    <t>L4</t>
  </si>
  <si>
    <t>L5</t>
  </si>
  <si>
    <t>durvju platumi,m</t>
  </si>
  <si>
    <t>logi, m2</t>
  </si>
  <si>
    <t>D10S</t>
  </si>
  <si>
    <t>D10S*</t>
  </si>
  <si>
    <t>Armstrong' tipa iekārtie griesti, no grīdas H=3.00m, m2</t>
  </si>
  <si>
    <t>D12aSU*</t>
  </si>
  <si>
    <t>D12UA</t>
  </si>
  <si>
    <t>Elektrosadales telpa</t>
  </si>
  <si>
    <t>flīzes, m2; H=2m</t>
  </si>
  <si>
    <t>Krāsojums</t>
  </si>
  <si>
    <t>plat.m2</t>
  </si>
  <si>
    <t>Telpas nosaukums</t>
  </si>
  <si>
    <t>L6</t>
  </si>
  <si>
    <t>Skaits</t>
  </si>
  <si>
    <t>nxL</t>
  </si>
  <si>
    <t>dēļi</t>
  </si>
  <si>
    <t>latas</t>
  </si>
  <si>
    <t>stabs</t>
  </si>
  <si>
    <t>vainags</t>
  </si>
  <si>
    <t>atgāznis</t>
  </si>
  <si>
    <t>savilces</t>
  </si>
  <si>
    <t>stats</t>
  </si>
  <si>
    <t>spāre</t>
  </si>
  <si>
    <t>ribspāre</t>
  </si>
  <si>
    <t>Nr.p.k.</t>
  </si>
  <si>
    <t>Nosaukums</t>
  </si>
  <si>
    <t>b, cm</t>
  </si>
  <si>
    <t>h, cm</t>
  </si>
  <si>
    <t>Šķērsgr., m</t>
  </si>
  <si>
    <t>Garums, m</t>
  </si>
  <si>
    <t>kubat. m3</t>
  </si>
  <si>
    <t>kopējā, m3</t>
  </si>
  <si>
    <t>augš. vainags</t>
  </si>
  <si>
    <t>apdares dēļi</t>
  </si>
  <si>
    <t>latas pa spāri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</si>
</sst>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/>
    <xf numFmtId="0" fontId="0" fillId="0" borderId="1" xfId="0" applyNumberFormat="1" applyBorder="1" applyAlignment="1">
      <alignment horizontal="left"/>
    </xf>
    <xf numFmtId="0" fontId="0" fillId="2" borderId="1" xfId="0" applyNumberFormat="1" applyFill="1" applyBorder="1" applyAlignment="1">
      <alignment horizontal="left"/>
    </xf>
    <xf numFmtId="0" fontId="0" fillId="2" borderId="1" xfId="0" applyFill="1" applyBorder="1"/>
    <xf numFmtId="0" fontId="0" fillId="0" borderId="1" xfId="0" applyNumberFormat="1" applyFill="1" applyBorder="1" applyAlignment="1">
      <alignment horizontal="left"/>
    </xf>
    <xf numFmtId="0" fontId="0" fillId="2" borderId="0" xfId="0" applyFill="1"/>
    <xf numFmtId="0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/>
    </xf>
    <xf numFmtId="0" fontId="0" fillId="0" borderId="0" xfId="0" applyBorder="1" applyAlignment="1"/>
    <xf numFmtId="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0" fillId="0" borderId="0" xfId="0" applyBorder="1"/>
    <xf numFmtId="0" fontId="0" fillId="2" borderId="0" xfId="0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0" fillId="0" borderId="1" xfId="0" applyNumberFormat="1" applyBorder="1" applyAlignment="1">
      <alignment horizontal="center" vertical="top"/>
    </xf>
    <xf numFmtId="0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/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 vertical="top"/>
    </xf>
    <xf numFmtId="2" fontId="3" fillId="3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 vertical="top"/>
    </xf>
    <xf numFmtId="0" fontId="0" fillId="3" borderId="0" xfId="0" applyFill="1"/>
    <xf numFmtId="0" fontId="0" fillId="0" borderId="1" xfId="0" applyBorder="1" applyAlignment="1">
      <alignment horizontal="center" vertical="center" wrapText="1"/>
    </xf>
    <xf numFmtId="2" fontId="0" fillId="0" borderId="0" xfId="0" applyNumberFormat="1"/>
    <xf numFmtId="0" fontId="0" fillId="0" borderId="1" xfId="0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0" xfId="0" applyNumberFormat="1" applyFill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2" fontId="0" fillId="0" borderId="0" xfId="0" applyNumberFormat="1" applyBorder="1"/>
    <xf numFmtId="0" fontId="2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54"/>
  <sheetViews>
    <sheetView tabSelected="1" workbookViewId="0">
      <pane xSplit="1" topLeftCell="B1" activePane="topRight" state="frozen"/>
      <selection pane="topRight" activeCell="F33" sqref="F33:F34"/>
    </sheetView>
  </sheetViews>
  <sheetFormatPr defaultRowHeight="15"/>
  <cols>
    <col min="2" max="2" width="36.140625" customWidth="1"/>
    <col min="3" max="3" width="10.85546875" style="54" customWidth="1"/>
    <col min="4" max="4" width="29.7109375" customWidth="1"/>
    <col min="5" max="5" width="10.42578125" style="49" customWidth="1"/>
    <col min="6" max="6" width="15.85546875" customWidth="1"/>
    <col min="7" max="7" width="12" style="49" customWidth="1"/>
    <col min="8" max="8" width="11.42578125" style="39" hidden="1" customWidth="1"/>
    <col min="9" max="9" width="9.7109375" style="39" hidden="1" customWidth="1"/>
    <col min="10" max="11" width="9.42578125" style="39" hidden="1" customWidth="1"/>
    <col min="12" max="12" width="10.42578125" customWidth="1"/>
    <col min="13" max="13" width="12.85546875" style="49" customWidth="1"/>
    <col min="14" max="14" width="16" customWidth="1"/>
    <col min="15" max="15" width="9.85546875" customWidth="1"/>
    <col min="16" max="16" width="19" customWidth="1"/>
    <col min="17" max="17" width="9" customWidth="1"/>
  </cols>
  <sheetData>
    <row r="2" spans="1:17">
      <c r="A2" s="66" t="s">
        <v>0</v>
      </c>
      <c r="B2" s="66" t="s">
        <v>84</v>
      </c>
      <c r="C2" s="69" t="s">
        <v>47</v>
      </c>
      <c r="D2" s="61" t="s">
        <v>1</v>
      </c>
      <c r="E2" s="61"/>
      <c r="F2" s="61"/>
      <c r="G2" s="61"/>
      <c r="H2" s="28" t="s">
        <v>40</v>
      </c>
      <c r="I2" s="29"/>
      <c r="J2" s="30" t="s">
        <v>44</v>
      </c>
      <c r="K2" s="31"/>
      <c r="L2" s="61" t="s">
        <v>17</v>
      </c>
      <c r="M2" s="61"/>
      <c r="N2" s="61" t="s">
        <v>5</v>
      </c>
      <c r="O2" s="61"/>
      <c r="P2" s="61"/>
      <c r="Q2" s="9"/>
    </row>
    <row r="3" spans="1:17" ht="15" customHeight="1">
      <c r="A3" s="67"/>
      <c r="B3" s="67"/>
      <c r="C3" s="70"/>
      <c r="D3" s="61"/>
      <c r="E3" s="61"/>
      <c r="F3" s="61"/>
      <c r="G3" s="61"/>
      <c r="H3" s="62" t="s">
        <v>41</v>
      </c>
      <c r="I3" s="63"/>
      <c r="J3" s="32">
        <v>3</v>
      </c>
      <c r="K3" s="32">
        <v>3</v>
      </c>
      <c r="L3" s="61"/>
      <c r="M3" s="61"/>
      <c r="N3" s="61" t="s">
        <v>2</v>
      </c>
      <c r="O3" s="64" t="s">
        <v>3</v>
      </c>
      <c r="P3" s="65"/>
      <c r="Q3" s="9"/>
    </row>
    <row r="4" spans="1:17" ht="45">
      <c r="A4" s="68"/>
      <c r="B4" s="68"/>
      <c r="C4" s="71"/>
      <c r="D4" s="16" t="s">
        <v>3</v>
      </c>
      <c r="E4" s="42" t="s">
        <v>83</v>
      </c>
      <c r="F4" s="16" t="s">
        <v>4</v>
      </c>
      <c r="G4" s="42" t="s">
        <v>15</v>
      </c>
      <c r="H4" s="32" t="s">
        <v>42</v>
      </c>
      <c r="I4" s="32" t="s">
        <v>43</v>
      </c>
      <c r="J4" s="32" t="s">
        <v>74</v>
      </c>
      <c r="K4" s="32" t="s">
        <v>73</v>
      </c>
      <c r="L4" s="40" t="s">
        <v>81</v>
      </c>
      <c r="M4" s="42" t="s">
        <v>48</v>
      </c>
      <c r="N4" s="61"/>
      <c r="O4" s="42" t="s">
        <v>82</v>
      </c>
      <c r="P4" s="17" t="s">
        <v>77</v>
      </c>
    </row>
    <row r="5" spans="1:17">
      <c r="A5" s="60" t="s">
        <v>20</v>
      </c>
      <c r="B5" s="60"/>
      <c r="C5" s="53"/>
      <c r="D5" s="1"/>
      <c r="E5" s="46"/>
      <c r="F5" s="1"/>
      <c r="G5" s="48"/>
      <c r="H5" s="33"/>
      <c r="I5" s="33"/>
      <c r="J5" s="33"/>
      <c r="K5" s="33"/>
      <c r="L5" s="22"/>
      <c r="M5" s="48"/>
      <c r="N5" s="11"/>
      <c r="O5" s="11"/>
      <c r="P5" s="1"/>
    </row>
    <row r="6" spans="1:17">
      <c r="A6" s="10">
        <v>1</v>
      </c>
      <c r="B6" s="2" t="s">
        <v>22</v>
      </c>
      <c r="C6" s="51">
        <v>16.7</v>
      </c>
      <c r="D6" s="1" t="s">
        <v>39</v>
      </c>
      <c r="E6" s="50">
        <f>I6</f>
        <v>16.66</v>
      </c>
      <c r="F6" s="1" t="s">
        <v>18</v>
      </c>
      <c r="G6" s="48">
        <f>H6-K6</f>
        <v>15.159999999999998</v>
      </c>
      <c r="H6" s="34">
        <v>17.059999999999999</v>
      </c>
      <c r="I6" s="34">
        <v>16.66</v>
      </c>
      <c r="J6" s="35">
        <f>logi!E6</f>
        <v>4</v>
      </c>
      <c r="K6" s="33">
        <f>durvis!B11+durvis!B9</f>
        <v>1.9</v>
      </c>
      <c r="L6" s="22"/>
      <c r="M6" s="19">
        <f>H6*$J$3-J6</f>
        <v>47.179999999999993</v>
      </c>
      <c r="N6" s="11" t="s">
        <v>38</v>
      </c>
      <c r="O6" s="11"/>
      <c r="P6" s="19">
        <f>C6</f>
        <v>16.7</v>
      </c>
      <c r="Q6" s="14"/>
    </row>
    <row r="7" spans="1:17">
      <c r="A7" s="10">
        <v>2</v>
      </c>
      <c r="B7" s="2" t="s">
        <v>21</v>
      </c>
      <c r="C7" s="51">
        <v>24.7</v>
      </c>
      <c r="D7" s="1" t="s">
        <v>39</v>
      </c>
      <c r="E7" s="50">
        <f t="shared" ref="E7:E51" si="0">I7</f>
        <v>25.51</v>
      </c>
      <c r="F7" s="1" t="s">
        <v>18</v>
      </c>
      <c r="G7" s="48">
        <f t="shared" ref="G7:G51" si="1">H7-K7</f>
        <v>28.75</v>
      </c>
      <c r="H7" s="36">
        <v>29.65</v>
      </c>
      <c r="I7" s="36">
        <v>25.51</v>
      </c>
      <c r="J7" s="37">
        <f>logi!E6+durvis!G13+durvis!G15</f>
        <v>10.856</v>
      </c>
      <c r="K7" s="36">
        <f>durvis!B9</f>
        <v>0.9</v>
      </c>
      <c r="L7" s="20"/>
      <c r="M7" s="44">
        <f>H7*6.9-J7-J33</f>
        <v>185.72900000000001</v>
      </c>
      <c r="N7" s="11" t="s">
        <v>38</v>
      </c>
      <c r="O7" s="44">
        <f>C33+1.6*1.2+1*1.2+2.57*1.2+1*1.2+2.67*1.2</f>
        <v>24.907999999999998</v>
      </c>
      <c r="P7" s="44"/>
      <c r="Q7" s="14"/>
    </row>
    <row r="8" spans="1:17">
      <c r="A8" s="10">
        <v>3</v>
      </c>
      <c r="B8" s="2" t="s">
        <v>6</v>
      </c>
      <c r="C8" s="51">
        <v>8.1</v>
      </c>
      <c r="D8" s="1" t="s">
        <v>13</v>
      </c>
      <c r="E8" s="50">
        <f t="shared" si="0"/>
        <v>8.24</v>
      </c>
      <c r="F8" s="1" t="s">
        <v>16</v>
      </c>
      <c r="G8" s="48">
        <f t="shared" si="1"/>
        <v>7.01</v>
      </c>
      <c r="H8" s="36">
        <v>11.97</v>
      </c>
      <c r="I8" s="36">
        <v>8.24</v>
      </c>
      <c r="J8" s="37">
        <f>durvis!G15+durvis!G18</f>
        <v>7.476</v>
      </c>
      <c r="K8" s="36">
        <f>durvis!B6+durvis!B7+durvis!B15+durvis!B18</f>
        <v>4.9600000000000009</v>
      </c>
      <c r="L8" s="20"/>
      <c r="M8" s="19">
        <f>H8*$J$3-J8</f>
        <v>28.434000000000005</v>
      </c>
      <c r="N8" s="11" t="s">
        <v>38</v>
      </c>
      <c r="O8" s="11"/>
      <c r="P8" s="19">
        <f>C8</f>
        <v>8.1</v>
      </c>
      <c r="Q8" s="14"/>
    </row>
    <row r="9" spans="1:17">
      <c r="A9" s="10">
        <v>4</v>
      </c>
      <c r="B9" s="2" t="s">
        <v>23</v>
      </c>
      <c r="C9" s="51">
        <v>2.9</v>
      </c>
      <c r="D9" s="1" t="s">
        <v>14</v>
      </c>
      <c r="E9" s="50">
        <f t="shared" si="0"/>
        <v>2.92</v>
      </c>
      <c r="F9" s="1" t="s">
        <v>18</v>
      </c>
      <c r="G9" s="48">
        <f t="shared" si="1"/>
        <v>6.1400000000000006</v>
      </c>
      <c r="H9" s="36">
        <v>6.94</v>
      </c>
      <c r="I9" s="36">
        <v>2.92</v>
      </c>
      <c r="J9" s="36"/>
      <c r="K9" s="36">
        <f>durvis!B6</f>
        <v>0.8</v>
      </c>
      <c r="L9" s="20">
        <f>H9*2</f>
        <v>13.88</v>
      </c>
      <c r="M9" s="19">
        <f>H9*$K$3-L9</f>
        <v>6.9399999999999995</v>
      </c>
      <c r="N9" s="11" t="s">
        <v>38</v>
      </c>
      <c r="O9" s="11"/>
      <c r="P9" s="19">
        <f>C9</f>
        <v>2.9</v>
      </c>
      <c r="Q9" s="14"/>
    </row>
    <row r="10" spans="1:17">
      <c r="A10" s="10">
        <v>5</v>
      </c>
      <c r="B10" s="2" t="s">
        <v>24</v>
      </c>
      <c r="C10" s="51">
        <v>3.4</v>
      </c>
      <c r="D10" s="1" t="s">
        <v>14</v>
      </c>
      <c r="E10" s="50">
        <f t="shared" si="0"/>
        <v>3.43</v>
      </c>
      <c r="F10" s="1" t="s">
        <v>18</v>
      </c>
      <c r="G10" s="48">
        <f t="shared" si="1"/>
        <v>6.55</v>
      </c>
      <c r="H10" s="36">
        <v>7.55</v>
      </c>
      <c r="I10" s="36">
        <v>3.43</v>
      </c>
      <c r="J10" s="36"/>
      <c r="K10" s="36">
        <f>durvis!B10</f>
        <v>1</v>
      </c>
      <c r="L10" s="20">
        <f t="shared" ref="L10:L40" si="2">H10*2</f>
        <v>15.1</v>
      </c>
      <c r="M10" s="19">
        <f t="shared" ref="M10:M40" si="3">H10*$K$3-L10</f>
        <v>7.5499999999999989</v>
      </c>
      <c r="N10" s="11" t="s">
        <v>38</v>
      </c>
      <c r="O10" s="11"/>
      <c r="P10" s="19">
        <f t="shared" ref="P10:P18" si="4">C10</f>
        <v>3.4</v>
      </c>
      <c r="Q10" s="14"/>
    </row>
    <row r="11" spans="1:17">
      <c r="A11" s="10">
        <v>6</v>
      </c>
      <c r="B11" s="2" t="s">
        <v>11</v>
      </c>
      <c r="C11" s="51">
        <v>1.2</v>
      </c>
      <c r="D11" s="1" t="s">
        <v>14</v>
      </c>
      <c r="E11" s="50">
        <f t="shared" si="0"/>
        <v>1.27</v>
      </c>
      <c r="F11" s="1" t="s">
        <v>18</v>
      </c>
      <c r="G11" s="48">
        <f t="shared" si="1"/>
        <v>4.16</v>
      </c>
      <c r="H11" s="36">
        <v>4.8600000000000003</v>
      </c>
      <c r="I11" s="36">
        <v>1.27</v>
      </c>
      <c r="J11" s="36"/>
      <c r="K11" s="36">
        <f>durvis!B5</f>
        <v>0.7</v>
      </c>
      <c r="L11" s="20">
        <f t="shared" si="2"/>
        <v>9.7200000000000006</v>
      </c>
      <c r="M11" s="19">
        <f t="shared" si="3"/>
        <v>4.8600000000000012</v>
      </c>
      <c r="N11" s="11" t="s">
        <v>38</v>
      </c>
      <c r="O11" s="11"/>
      <c r="P11" s="19">
        <f t="shared" si="4"/>
        <v>1.2</v>
      </c>
      <c r="Q11" s="14"/>
    </row>
    <row r="12" spans="1:17">
      <c r="A12" s="10">
        <v>7</v>
      </c>
      <c r="B12" s="2" t="s">
        <v>11</v>
      </c>
      <c r="C12" s="51">
        <v>1.2</v>
      </c>
      <c r="D12" s="1" t="s">
        <v>14</v>
      </c>
      <c r="E12" s="50">
        <f t="shared" si="0"/>
        <v>1.27</v>
      </c>
      <c r="F12" s="1" t="s">
        <v>18</v>
      </c>
      <c r="G12" s="48">
        <f t="shared" si="1"/>
        <v>4.16</v>
      </c>
      <c r="H12" s="36">
        <v>4.8600000000000003</v>
      </c>
      <c r="I12" s="36">
        <v>1.27</v>
      </c>
      <c r="J12" s="36"/>
      <c r="K12" s="36">
        <f>durvis!B5</f>
        <v>0.7</v>
      </c>
      <c r="L12" s="20">
        <f t="shared" si="2"/>
        <v>9.7200000000000006</v>
      </c>
      <c r="M12" s="19">
        <f t="shared" si="3"/>
        <v>4.8600000000000012</v>
      </c>
      <c r="N12" s="11" t="s">
        <v>38</v>
      </c>
      <c r="O12" s="11"/>
      <c r="P12" s="19">
        <f t="shared" si="4"/>
        <v>1.2</v>
      </c>
      <c r="Q12" s="14"/>
    </row>
    <row r="13" spans="1:17">
      <c r="A13" s="10">
        <v>8</v>
      </c>
      <c r="B13" s="2" t="s">
        <v>25</v>
      </c>
      <c r="C13" s="51">
        <v>3</v>
      </c>
      <c r="D13" s="1" t="s">
        <v>14</v>
      </c>
      <c r="E13" s="50">
        <f t="shared" si="0"/>
        <v>3.05</v>
      </c>
      <c r="F13" s="1" t="s">
        <v>18</v>
      </c>
      <c r="G13" s="48">
        <f t="shared" si="1"/>
        <v>4.93</v>
      </c>
      <c r="H13" s="36">
        <v>7.13</v>
      </c>
      <c r="I13" s="36">
        <v>3.05</v>
      </c>
      <c r="J13" s="36"/>
      <c r="K13" s="36">
        <f>durvis!B5*2+durvis!B6</f>
        <v>2.2000000000000002</v>
      </c>
      <c r="L13" s="20">
        <f t="shared" si="2"/>
        <v>14.26</v>
      </c>
      <c r="M13" s="19">
        <f t="shared" si="3"/>
        <v>7.1300000000000008</v>
      </c>
      <c r="N13" s="11" t="s">
        <v>38</v>
      </c>
      <c r="O13" s="11"/>
      <c r="P13" s="19">
        <f t="shared" si="4"/>
        <v>3</v>
      </c>
      <c r="Q13" s="14"/>
    </row>
    <row r="14" spans="1:17">
      <c r="A14" s="10">
        <v>9</v>
      </c>
      <c r="B14" s="2" t="s">
        <v>6</v>
      </c>
      <c r="C14" s="51">
        <v>30.7</v>
      </c>
      <c r="D14" s="1" t="s">
        <v>13</v>
      </c>
      <c r="E14" s="50">
        <f t="shared" si="0"/>
        <v>31.17</v>
      </c>
      <c r="F14" s="1" t="s">
        <v>16</v>
      </c>
      <c r="G14" s="48">
        <f t="shared" si="1"/>
        <v>24.379999999999995</v>
      </c>
      <c r="H14" s="36">
        <v>33.229999999999997</v>
      </c>
      <c r="I14" s="36">
        <v>31.17</v>
      </c>
      <c r="J14" s="37">
        <f>durvis!G19+durvis!G18</f>
        <v>10.44</v>
      </c>
      <c r="K14" s="36">
        <f>durvis!B7+durvis!B6+durvis!B10+durvis!B18+durvis!B7+durvis!B9+durvis!B19</f>
        <v>8.8500000000000014</v>
      </c>
      <c r="L14" s="20"/>
      <c r="M14" s="19">
        <f t="shared" ref="M14:M18" si="5">H14*$J$3-J14</f>
        <v>89.25</v>
      </c>
      <c r="N14" s="11" t="s">
        <v>38</v>
      </c>
      <c r="O14" s="11"/>
      <c r="P14" s="19">
        <f t="shared" si="4"/>
        <v>30.7</v>
      </c>
      <c r="Q14" s="14"/>
    </row>
    <row r="15" spans="1:17" hidden="1">
      <c r="A15" s="10">
        <v>10</v>
      </c>
      <c r="B15" s="7" t="s">
        <v>8</v>
      </c>
      <c r="C15" s="51">
        <v>15.12</v>
      </c>
      <c r="D15" s="1" t="s">
        <v>12</v>
      </c>
      <c r="E15" s="50">
        <f t="shared" si="0"/>
        <v>0</v>
      </c>
      <c r="F15" s="1" t="s">
        <v>18</v>
      </c>
      <c r="G15" s="48">
        <f t="shared" si="1"/>
        <v>0</v>
      </c>
      <c r="H15" s="36"/>
      <c r="I15" s="36"/>
      <c r="J15" s="36"/>
      <c r="K15" s="36"/>
      <c r="L15" s="20"/>
      <c r="M15" s="19">
        <f t="shared" si="5"/>
        <v>0</v>
      </c>
      <c r="N15" s="11" t="s">
        <v>38</v>
      </c>
      <c r="O15" s="11"/>
      <c r="P15" s="19">
        <f t="shared" si="4"/>
        <v>15.12</v>
      </c>
      <c r="Q15" s="14"/>
    </row>
    <row r="16" spans="1:17" s="6" customFormat="1" hidden="1">
      <c r="A16" s="10">
        <v>11</v>
      </c>
      <c r="B16" s="8"/>
      <c r="C16" s="51"/>
      <c r="D16" s="4"/>
      <c r="E16" s="50">
        <f t="shared" si="0"/>
        <v>0</v>
      </c>
      <c r="F16" s="1" t="s">
        <v>18</v>
      </c>
      <c r="G16" s="48">
        <f t="shared" si="1"/>
        <v>0</v>
      </c>
      <c r="H16" s="36"/>
      <c r="I16" s="36"/>
      <c r="J16" s="36"/>
      <c r="K16" s="36"/>
      <c r="L16" s="20"/>
      <c r="M16" s="19">
        <f t="shared" si="5"/>
        <v>0</v>
      </c>
      <c r="N16" s="11" t="s">
        <v>38</v>
      </c>
      <c r="O16" s="11"/>
      <c r="P16" s="19">
        <f t="shared" si="4"/>
        <v>0</v>
      </c>
      <c r="Q16" s="15"/>
    </row>
    <row r="17" spans="1:17">
      <c r="A17" s="10">
        <v>10</v>
      </c>
      <c r="B17" s="2" t="s">
        <v>26</v>
      </c>
      <c r="C17" s="51">
        <v>19.100000000000001</v>
      </c>
      <c r="D17" s="1" t="s">
        <v>13</v>
      </c>
      <c r="E17" s="50">
        <f t="shared" si="0"/>
        <v>19.3</v>
      </c>
      <c r="F17" s="1" t="s">
        <v>16</v>
      </c>
      <c r="G17" s="48">
        <f t="shared" si="1"/>
        <v>16.66</v>
      </c>
      <c r="H17" s="36">
        <v>18.46</v>
      </c>
      <c r="I17" s="36">
        <v>19.3</v>
      </c>
      <c r="J17" s="36"/>
      <c r="K17" s="36">
        <f>durvis!B7*2</f>
        <v>1.8</v>
      </c>
      <c r="L17" s="20"/>
      <c r="M17" s="19">
        <f t="shared" si="5"/>
        <v>55.38</v>
      </c>
      <c r="N17" s="11" t="s">
        <v>38</v>
      </c>
      <c r="O17" s="11"/>
      <c r="P17" s="19">
        <f t="shared" si="4"/>
        <v>19.100000000000001</v>
      </c>
      <c r="Q17" s="14"/>
    </row>
    <row r="18" spans="1:17">
      <c r="A18" s="10">
        <v>11</v>
      </c>
      <c r="B18" s="2" t="s">
        <v>27</v>
      </c>
      <c r="C18" s="51">
        <v>120.1</v>
      </c>
      <c r="D18" s="1" t="s">
        <v>13</v>
      </c>
      <c r="E18" s="50">
        <f t="shared" si="0"/>
        <v>120.24</v>
      </c>
      <c r="F18" s="1" t="s">
        <v>16</v>
      </c>
      <c r="G18" s="48">
        <f t="shared" si="1"/>
        <v>49.53</v>
      </c>
      <c r="H18" s="36">
        <v>52.03</v>
      </c>
      <c r="I18" s="36">
        <v>120.24</v>
      </c>
      <c r="J18" s="36">
        <f>logi!E7*2+logi!E5*6+logi!E5</f>
        <v>34.800000000000004</v>
      </c>
      <c r="K18" s="36">
        <f>durvis!B7+durvis!B6*2</f>
        <v>2.5</v>
      </c>
      <c r="L18" s="20"/>
      <c r="M18" s="19">
        <f t="shared" si="5"/>
        <v>121.28999999999999</v>
      </c>
      <c r="N18" s="11" t="s">
        <v>38</v>
      </c>
      <c r="O18" s="11"/>
      <c r="P18" s="19">
        <f t="shared" si="4"/>
        <v>120.1</v>
      </c>
      <c r="Q18" s="14"/>
    </row>
    <row r="19" spans="1:17">
      <c r="A19" s="10">
        <v>12</v>
      </c>
      <c r="B19" s="2" t="s">
        <v>9</v>
      </c>
      <c r="C19" s="51">
        <v>3.6</v>
      </c>
      <c r="D19" s="1" t="s">
        <v>14</v>
      </c>
      <c r="E19" s="50">
        <f t="shared" si="0"/>
        <v>3.68</v>
      </c>
      <c r="F19" s="1" t="s">
        <v>18</v>
      </c>
      <c r="G19" s="48">
        <f t="shared" si="1"/>
        <v>6.95</v>
      </c>
      <c r="H19" s="36">
        <v>7.75</v>
      </c>
      <c r="I19" s="36">
        <v>3.68</v>
      </c>
      <c r="J19" s="36"/>
      <c r="K19" s="36">
        <f>durvis!B6</f>
        <v>0.8</v>
      </c>
      <c r="L19" s="20">
        <f t="shared" si="2"/>
        <v>15.5</v>
      </c>
      <c r="M19" s="19">
        <f t="shared" si="3"/>
        <v>7.75</v>
      </c>
      <c r="N19" s="11" t="s">
        <v>38</v>
      </c>
      <c r="O19" s="11"/>
      <c r="P19" s="21">
        <f t="shared" ref="P19:P29" si="6">C19</f>
        <v>3.6</v>
      </c>
      <c r="Q19" s="14"/>
    </row>
    <row r="20" spans="1:17">
      <c r="A20" s="10">
        <v>13</v>
      </c>
      <c r="B20" s="2" t="s">
        <v>11</v>
      </c>
      <c r="C20" s="51">
        <v>10.6</v>
      </c>
      <c r="D20" s="1" t="s">
        <v>14</v>
      </c>
      <c r="E20" s="50">
        <f t="shared" si="0"/>
        <v>10.71</v>
      </c>
      <c r="F20" s="1" t="s">
        <v>18</v>
      </c>
      <c r="G20" s="48">
        <f t="shared" si="1"/>
        <v>14.98</v>
      </c>
      <c r="H20" s="36">
        <v>16.48</v>
      </c>
      <c r="I20" s="36">
        <v>10.71</v>
      </c>
      <c r="J20" s="36"/>
      <c r="K20" s="36">
        <f>durvis!B6+durvis!B5</f>
        <v>1.5</v>
      </c>
      <c r="L20" s="20">
        <f t="shared" si="2"/>
        <v>32.96</v>
      </c>
      <c r="M20" s="19">
        <f t="shared" si="3"/>
        <v>16.479999999999997</v>
      </c>
      <c r="N20" s="11" t="s">
        <v>38</v>
      </c>
      <c r="O20" s="11"/>
      <c r="P20" s="21">
        <f t="shared" si="6"/>
        <v>10.6</v>
      </c>
      <c r="Q20" s="14"/>
    </row>
    <row r="21" spans="1:17">
      <c r="A21" s="10">
        <v>14</v>
      </c>
      <c r="B21" s="2" t="s">
        <v>11</v>
      </c>
      <c r="C21" s="51">
        <v>1.7</v>
      </c>
      <c r="D21" s="1" t="s">
        <v>14</v>
      </c>
      <c r="E21" s="50">
        <f t="shared" si="0"/>
        <v>1.75</v>
      </c>
      <c r="F21" s="1" t="s">
        <v>18</v>
      </c>
      <c r="G21" s="48">
        <f t="shared" si="1"/>
        <v>4.8999999999999995</v>
      </c>
      <c r="H21" s="36">
        <v>5.6</v>
      </c>
      <c r="I21" s="36">
        <v>1.75</v>
      </c>
      <c r="J21" s="36"/>
      <c r="K21" s="36">
        <f>durvis!B5</f>
        <v>0.7</v>
      </c>
      <c r="L21" s="20">
        <f t="shared" si="2"/>
        <v>11.2</v>
      </c>
      <c r="M21" s="19">
        <f t="shared" si="3"/>
        <v>5.5999999999999979</v>
      </c>
      <c r="N21" s="11" t="s">
        <v>38</v>
      </c>
      <c r="O21" s="11"/>
      <c r="P21" s="21">
        <f t="shared" si="6"/>
        <v>1.7</v>
      </c>
      <c r="Q21" s="14"/>
    </row>
    <row r="22" spans="1:17">
      <c r="A22" s="10">
        <v>15</v>
      </c>
      <c r="B22" s="2" t="s">
        <v>10</v>
      </c>
      <c r="C22" s="51">
        <v>11.96</v>
      </c>
      <c r="D22" s="1" t="s">
        <v>39</v>
      </c>
      <c r="E22" s="50">
        <f t="shared" si="0"/>
        <v>12.08</v>
      </c>
      <c r="F22" s="1" t="s">
        <v>18</v>
      </c>
      <c r="G22" s="48">
        <f t="shared" si="1"/>
        <v>13.799999999999999</v>
      </c>
      <c r="H22" s="36">
        <v>14.7</v>
      </c>
      <c r="I22" s="36">
        <v>12.08</v>
      </c>
      <c r="J22" s="36"/>
      <c r="K22" s="36">
        <f>durvis!B7</f>
        <v>0.9</v>
      </c>
      <c r="L22" s="20"/>
      <c r="M22" s="19">
        <f t="shared" ref="M22:M29" si="7">H22*$J$3-J22</f>
        <v>44.099999999999994</v>
      </c>
      <c r="N22" s="11" t="s">
        <v>38</v>
      </c>
      <c r="O22" s="11"/>
      <c r="P22" s="21">
        <f t="shared" si="6"/>
        <v>11.96</v>
      </c>
      <c r="Q22" s="14"/>
    </row>
    <row r="23" spans="1:17">
      <c r="A23" s="10">
        <v>16</v>
      </c>
      <c r="B23" s="2" t="s">
        <v>7</v>
      </c>
      <c r="C23" s="51">
        <v>3.5</v>
      </c>
      <c r="D23" s="1" t="s">
        <v>39</v>
      </c>
      <c r="E23" s="50">
        <f t="shared" si="0"/>
        <v>3.96</v>
      </c>
      <c r="F23" s="1" t="s">
        <v>18</v>
      </c>
      <c r="G23" s="48">
        <f t="shared" si="1"/>
        <v>3.3599999999999994</v>
      </c>
      <c r="H23" s="36">
        <v>8.01</v>
      </c>
      <c r="I23" s="36">
        <v>3.96</v>
      </c>
      <c r="J23" s="37">
        <f>durvis!G14+durvis!G19</f>
        <v>11.16</v>
      </c>
      <c r="K23" s="36">
        <f>durvis!B19+durvis!B14</f>
        <v>4.6500000000000004</v>
      </c>
      <c r="L23" s="20"/>
      <c r="M23" s="19">
        <f t="shared" si="7"/>
        <v>12.870000000000001</v>
      </c>
      <c r="N23" s="11" t="s">
        <v>38</v>
      </c>
      <c r="O23" s="11"/>
      <c r="P23" s="21">
        <f t="shared" si="6"/>
        <v>3.5</v>
      </c>
      <c r="Q23" s="14"/>
    </row>
    <row r="24" spans="1:17">
      <c r="A24" s="10">
        <v>17</v>
      </c>
      <c r="B24" s="2" t="s">
        <v>28</v>
      </c>
      <c r="C24" s="51">
        <v>69.7</v>
      </c>
      <c r="D24" s="1" t="s">
        <v>45</v>
      </c>
      <c r="E24" s="50">
        <f t="shared" si="0"/>
        <v>70.209999999999994</v>
      </c>
      <c r="F24" s="1" t="s">
        <v>16</v>
      </c>
      <c r="G24" s="48">
        <f t="shared" si="1"/>
        <v>34.550000000000004</v>
      </c>
      <c r="H24" s="36">
        <v>36.35</v>
      </c>
      <c r="I24" s="36">
        <v>70.209999999999994</v>
      </c>
      <c r="J24" s="36">
        <f>logi!E7*2</f>
        <v>9.6</v>
      </c>
      <c r="K24" s="36">
        <f>durvis!B9*2</f>
        <v>1.8</v>
      </c>
      <c r="L24" s="20"/>
      <c r="M24" s="19">
        <f t="shared" si="7"/>
        <v>99.450000000000017</v>
      </c>
      <c r="N24" s="11" t="s">
        <v>38</v>
      </c>
      <c r="O24" s="11"/>
      <c r="P24" s="21">
        <f t="shared" si="6"/>
        <v>69.7</v>
      </c>
      <c r="Q24" s="14"/>
    </row>
    <row r="25" spans="1:17">
      <c r="A25" s="10">
        <v>18</v>
      </c>
      <c r="B25" s="2" t="s">
        <v>29</v>
      </c>
      <c r="C25" s="51">
        <v>76.900000000000006</v>
      </c>
      <c r="D25" s="1" t="s">
        <v>13</v>
      </c>
      <c r="E25" s="50">
        <f t="shared" si="0"/>
        <v>77.11</v>
      </c>
      <c r="F25" s="1" t="s">
        <v>18</v>
      </c>
      <c r="G25" s="48">
        <f t="shared" si="1"/>
        <v>34.72</v>
      </c>
      <c r="H25" s="36">
        <v>35.619999999999997</v>
      </c>
      <c r="I25" s="36">
        <v>77.11</v>
      </c>
      <c r="J25" s="36">
        <f>logi!E5*3+logi!E7+logi!E8</f>
        <v>18.600000000000001</v>
      </c>
      <c r="K25" s="36">
        <f>durvis!B7</f>
        <v>0.9</v>
      </c>
      <c r="L25" s="20"/>
      <c r="M25" s="19">
        <f t="shared" si="7"/>
        <v>88.259999999999991</v>
      </c>
      <c r="N25" s="11" t="s">
        <v>38</v>
      </c>
      <c r="O25" s="11"/>
      <c r="P25" s="21">
        <f t="shared" si="6"/>
        <v>76.900000000000006</v>
      </c>
      <c r="Q25" s="14"/>
    </row>
    <row r="26" spans="1:17" s="6" customFormat="1" hidden="1">
      <c r="A26" s="10">
        <v>21</v>
      </c>
      <c r="B26" s="3"/>
      <c r="C26" s="51"/>
      <c r="D26" s="4"/>
      <c r="E26" s="50">
        <f t="shared" si="0"/>
        <v>0</v>
      </c>
      <c r="F26" s="4"/>
      <c r="G26" s="48">
        <f t="shared" si="1"/>
        <v>0</v>
      </c>
      <c r="H26" s="36"/>
      <c r="I26" s="36"/>
      <c r="J26" s="36"/>
      <c r="K26" s="36"/>
      <c r="L26" s="20"/>
      <c r="M26" s="19">
        <f t="shared" si="7"/>
        <v>0</v>
      </c>
      <c r="N26" s="11" t="s">
        <v>38</v>
      </c>
      <c r="O26" s="11"/>
      <c r="P26" s="21">
        <f t="shared" si="6"/>
        <v>0</v>
      </c>
      <c r="Q26" s="15"/>
    </row>
    <row r="27" spans="1:17">
      <c r="A27" s="23">
        <v>19</v>
      </c>
      <c r="B27" s="24" t="s">
        <v>30</v>
      </c>
      <c r="C27" s="51">
        <v>20.7</v>
      </c>
      <c r="D27" s="55" t="s">
        <v>46</v>
      </c>
      <c r="E27" s="57">
        <f t="shared" si="0"/>
        <v>20.54</v>
      </c>
      <c r="F27" s="25"/>
      <c r="G27" s="58">
        <f t="shared" si="1"/>
        <v>17.64</v>
      </c>
      <c r="H27" s="34">
        <f>9.71*2</f>
        <v>19.420000000000002</v>
      </c>
      <c r="I27" s="34">
        <v>20.54</v>
      </c>
      <c r="J27" s="38">
        <f>durvis!G8/2</f>
        <v>1.8512000000000002</v>
      </c>
      <c r="K27" s="34">
        <f>durvis!B8</f>
        <v>1.78</v>
      </c>
      <c r="L27" s="58"/>
      <c r="M27" s="56">
        <f t="shared" si="7"/>
        <v>56.408800000000006</v>
      </c>
      <c r="N27" s="26" t="s">
        <v>38</v>
      </c>
      <c r="O27" s="26"/>
      <c r="P27" s="56">
        <f t="shared" si="6"/>
        <v>20.7</v>
      </c>
      <c r="Q27" s="14"/>
    </row>
    <row r="28" spans="1:17">
      <c r="A28" s="10">
        <v>20</v>
      </c>
      <c r="B28" s="2" t="s">
        <v>31</v>
      </c>
      <c r="C28" s="51">
        <v>15.9</v>
      </c>
      <c r="D28" s="1" t="s">
        <v>45</v>
      </c>
      <c r="E28" s="50">
        <f t="shared" si="0"/>
        <v>16.07</v>
      </c>
      <c r="F28" s="1" t="s">
        <v>16</v>
      </c>
      <c r="G28" s="48">
        <f t="shared" si="1"/>
        <v>15.4</v>
      </c>
      <c r="H28" s="36">
        <v>16.3</v>
      </c>
      <c r="I28" s="36">
        <v>16.07</v>
      </c>
      <c r="J28" s="37">
        <f>logi!E4</f>
        <v>2.8800000000000003</v>
      </c>
      <c r="K28" s="36">
        <f>durvis!B9</f>
        <v>0.9</v>
      </c>
      <c r="L28" s="20"/>
      <c r="M28" s="19">
        <f t="shared" si="7"/>
        <v>46.02</v>
      </c>
      <c r="N28" s="11" t="s">
        <v>38</v>
      </c>
      <c r="O28" s="11"/>
      <c r="P28" s="21">
        <f t="shared" si="6"/>
        <v>15.9</v>
      </c>
      <c r="Q28" s="14"/>
    </row>
    <row r="29" spans="1:17">
      <c r="A29" s="10">
        <v>21</v>
      </c>
      <c r="B29" s="2" t="s">
        <v>7</v>
      </c>
      <c r="C29" s="51">
        <v>6.5</v>
      </c>
      <c r="D29" s="1" t="s">
        <v>39</v>
      </c>
      <c r="E29" s="50">
        <f t="shared" si="0"/>
        <v>6.41</v>
      </c>
      <c r="F29" s="1" t="s">
        <v>18</v>
      </c>
      <c r="G29" s="48">
        <f t="shared" si="1"/>
        <v>8.75</v>
      </c>
      <c r="H29" s="36">
        <v>11.55</v>
      </c>
      <c r="I29" s="36">
        <v>6.41</v>
      </c>
      <c r="J29" s="37">
        <f>durvis!G12</f>
        <v>2.1</v>
      </c>
      <c r="K29" s="36">
        <f>durvis!B9*2+durvis!B12</f>
        <v>2.8</v>
      </c>
      <c r="L29" s="20"/>
      <c r="M29" s="19">
        <f t="shared" si="7"/>
        <v>32.550000000000004</v>
      </c>
      <c r="N29" s="11" t="s">
        <v>38</v>
      </c>
      <c r="O29" s="11"/>
      <c r="P29" s="21">
        <f t="shared" si="6"/>
        <v>6.5</v>
      </c>
      <c r="Q29" s="14"/>
    </row>
    <row r="30" spans="1:17">
      <c r="A30" s="10">
        <v>22</v>
      </c>
      <c r="B30" s="2" t="s">
        <v>80</v>
      </c>
      <c r="C30" s="51">
        <f>1.2*2.588</f>
        <v>3.1055999999999999</v>
      </c>
      <c r="D30" s="1" t="s">
        <v>39</v>
      </c>
      <c r="E30" s="50">
        <f t="shared" si="0"/>
        <v>3.22</v>
      </c>
      <c r="F30" s="1" t="s">
        <v>18</v>
      </c>
      <c r="G30" s="48">
        <f t="shared" ref="G30" si="8">H30-K30</f>
        <v>7</v>
      </c>
      <c r="H30" s="36">
        <v>7.8</v>
      </c>
      <c r="I30" s="36">
        <v>3.22</v>
      </c>
      <c r="J30" s="37">
        <f>durvis!G6</f>
        <v>1.6800000000000002</v>
      </c>
      <c r="K30" s="36">
        <f>durvis!B6</f>
        <v>0.8</v>
      </c>
      <c r="L30" s="20"/>
      <c r="M30" s="19">
        <f t="shared" ref="M30" si="9">H30*$J$3-J30</f>
        <v>21.72</v>
      </c>
      <c r="N30" s="11" t="s">
        <v>38</v>
      </c>
      <c r="O30" s="11"/>
      <c r="P30" s="21">
        <f t="shared" ref="P30" si="10">C30</f>
        <v>3.1055999999999999</v>
      </c>
      <c r="Q30" s="14"/>
    </row>
    <row r="31" spans="1:17">
      <c r="A31" s="10"/>
      <c r="B31" s="2"/>
      <c r="C31" s="51">
        <f>SUM(C6:C29)</f>
        <v>467.27999999999992</v>
      </c>
      <c r="D31" s="1"/>
      <c r="E31" s="51">
        <f>SUM(E6:E29)</f>
        <v>455.58000000000004</v>
      </c>
      <c r="F31" s="1"/>
      <c r="G31" s="48"/>
      <c r="H31" s="36"/>
      <c r="I31" s="36"/>
      <c r="J31" s="36"/>
      <c r="K31" s="36"/>
      <c r="L31" s="20"/>
      <c r="M31" s="19"/>
      <c r="N31" s="11"/>
      <c r="O31" s="11"/>
      <c r="P31" s="21"/>
      <c r="Q31" s="14"/>
    </row>
    <row r="32" spans="1:17">
      <c r="A32" s="60" t="s">
        <v>19</v>
      </c>
      <c r="B32" s="60"/>
      <c r="C32" s="53"/>
      <c r="D32" s="1"/>
      <c r="E32" s="46"/>
      <c r="F32" s="1"/>
      <c r="G32" s="48"/>
      <c r="H32" s="36"/>
      <c r="I32" s="36"/>
      <c r="J32" s="36"/>
      <c r="K32" s="36"/>
      <c r="L32" s="20"/>
      <c r="M32" s="19"/>
      <c r="N32" s="11"/>
      <c r="O32" s="11"/>
      <c r="P32" s="21"/>
      <c r="Q32" s="14"/>
    </row>
    <row r="33" spans="1:17">
      <c r="A33" s="10">
        <v>1</v>
      </c>
      <c r="B33" s="5" t="s">
        <v>21</v>
      </c>
      <c r="C33" s="51">
        <v>14.3</v>
      </c>
      <c r="D33" s="1" t="s">
        <v>39</v>
      </c>
      <c r="E33" s="50">
        <f t="shared" si="0"/>
        <v>14.37</v>
      </c>
      <c r="F33" s="1" t="s">
        <v>18</v>
      </c>
      <c r="G33" s="48">
        <f t="shared" si="1"/>
        <v>15.939999999999998</v>
      </c>
      <c r="H33" s="36">
        <v>18.899999999999999</v>
      </c>
      <c r="I33" s="36">
        <v>14.37</v>
      </c>
      <c r="J33" s="36">
        <f>logi!E6*2</f>
        <v>8</v>
      </c>
      <c r="K33" s="36">
        <f>durvis!B7+durvis!B15+0.9</f>
        <v>2.96</v>
      </c>
      <c r="L33" s="20"/>
      <c r="M33" s="44"/>
      <c r="N33" s="11" t="s">
        <v>38</v>
      </c>
      <c r="O33" s="11"/>
      <c r="P33" s="43">
        <v>27.11</v>
      </c>
      <c r="Q33" s="14"/>
    </row>
    <row r="34" spans="1:17">
      <c r="A34" s="10">
        <v>2</v>
      </c>
      <c r="B34" s="5" t="s">
        <v>32</v>
      </c>
      <c r="C34" s="51">
        <v>19</v>
      </c>
      <c r="D34" s="1" t="s">
        <v>14</v>
      </c>
      <c r="E34" s="50">
        <f t="shared" si="0"/>
        <v>19.170000000000002</v>
      </c>
      <c r="F34" s="1" t="s">
        <v>18</v>
      </c>
      <c r="G34" s="48">
        <f t="shared" si="1"/>
        <v>17.73</v>
      </c>
      <c r="H34" s="36">
        <v>18.63</v>
      </c>
      <c r="I34" s="36">
        <v>19.170000000000002</v>
      </c>
      <c r="J34" s="37">
        <f>logi!E6</f>
        <v>4</v>
      </c>
      <c r="K34" s="36">
        <f>durvis!B7</f>
        <v>0.9</v>
      </c>
      <c r="L34" s="20">
        <f>H34*1.2</f>
        <v>22.355999999999998</v>
      </c>
      <c r="M34" s="19">
        <f t="shared" ref="M34" si="11">H34*$K$3-L34</f>
        <v>33.534000000000006</v>
      </c>
      <c r="N34" s="11" t="s">
        <v>38</v>
      </c>
      <c r="O34" s="11"/>
      <c r="P34" s="21">
        <f>C34</f>
        <v>19</v>
      </c>
      <c r="Q34" s="14"/>
    </row>
    <row r="35" spans="1:17">
      <c r="A35" s="10">
        <v>3</v>
      </c>
      <c r="B35" s="5" t="s">
        <v>6</v>
      </c>
      <c r="C35" s="51">
        <v>31.3</v>
      </c>
      <c r="D35" s="1" t="s">
        <v>13</v>
      </c>
      <c r="E35" s="50">
        <f t="shared" si="0"/>
        <v>31.27</v>
      </c>
      <c r="F35" s="1" t="s">
        <v>16</v>
      </c>
      <c r="G35" s="48">
        <f t="shared" si="1"/>
        <v>31.189999999999998</v>
      </c>
      <c r="H35" s="36">
        <v>36.25</v>
      </c>
      <c r="I35" s="36">
        <v>31.27</v>
      </c>
      <c r="J35" s="36">
        <f>durvis!B15*2</f>
        <v>2.3199999999999998</v>
      </c>
      <c r="K35" s="36">
        <f>durvis!B15+durvis!B7*3+durvis!B17</f>
        <v>5.0600000000000005</v>
      </c>
      <c r="L35" s="20"/>
      <c r="M35" s="19">
        <f>H35*$J$3-J35</f>
        <v>106.43</v>
      </c>
      <c r="N35" s="11" t="s">
        <v>38</v>
      </c>
      <c r="O35" s="11"/>
      <c r="P35" s="21">
        <f>C35</f>
        <v>31.3</v>
      </c>
      <c r="Q35" s="14"/>
    </row>
    <row r="36" spans="1:17" s="6" customFormat="1" hidden="1">
      <c r="A36" s="10">
        <v>4</v>
      </c>
      <c r="B36" s="3"/>
      <c r="C36" s="53"/>
      <c r="D36" s="4"/>
      <c r="E36" s="50">
        <f t="shared" si="0"/>
        <v>0</v>
      </c>
      <c r="F36" s="4"/>
      <c r="G36" s="48">
        <f t="shared" si="1"/>
        <v>0</v>
      </c>
      <c r="H36" s="36"/>
      <c r="I36" s="36"/>
      <c r="J36" s="36"/>
      <c r="K36" s="36"/>
      <c r="L36" s="20">
        <f t="shared" si="2"/>
        <v>0</v>
      </c>
      <c r="M36" s="19">
        <f t="shared" si="3"/>
        <v>0</v>
      </c>
      <c r="N36" s="11" t="s">
        <v>38</v>
      </c>
      <c r="O36" s="11"/>
      <c r="P36" s="21"/>
      <c r="Q36" s="15"/>
    </row>
    <row r="37" spans="1:17">
      <c r="A37" s="10">
        <v>4</v>
      </c>
      <c r="B37" s="5" t="s">
        <v>11</v>
      </c>
      <c r="C37" s="51">
        <v>13.5</v>
      </c>
      <c r="D37" s="1" t="s">
        <v>14</v>
      </c>
      <c r="E37" s="50">
        <f t="shared" si="0"/>
        <v>13.57</v>
      </c>
      <c r="F37" s="1" t="s">
        <v>18</v>
      </c>
      <c r="G37" s="48">
        <f t="shared" si="1"/>
        <v>15.760000000000002</v>
      </c>
      <c r="H37" s="36">
        <v>17.260000000000002</v>
      </c>
      <c r="I37" s="36">
        <v>13.57</v>
      </c>
      <c r="J37" s="36"/>
      <c r="K37" s="36">
        <f>durvis!B5+durvis!B6</f>
        <v>1.5</v>
      </c>
      <c r="L37" s="20">
        <f t="shared" si="2"/>
        <v>34.520000000000003</v>
      </c>
      <c r="M37" s="19">
        <f t="shared" si="3"/>
        <v>17.259999999999998</v>
      </c>
      <c r="N37" s="11" t="s">
        <v>38</v>
      </c>
      <c r="O37" s="11"/>
      <c r="P37" s="21">
        <f>C37</f>
        <v>13.5</v>
      </c>
      <c r="Q37" s="14"/>
    </row>
    <row r="38" spans="1:17">
      <c r="A38" s="10">
        <v>5</v>
      </c>
      <c r="B38" s="5" t="s">
        <v>33</v>
      </c>
      <c r="C38" s="51">
        <v>17.2</v>
      </c>
      <c r="D38" s="1" t="s">
        <v>13</v>
      </c>
      <c r="E38" s="50">
        <f t="shared" si="0"/>
        <v>17.399999999999999</v>
      </c>
      <c r="F38" s="1" t="s">
        <v>16</v>
      </c>
      <c r="G38" s="48">
        <f t="shared" si="1"/>
        <v>15.3</v>
      </c>
      <c r="H38" s="36">
        <v>17.100000000000001</v>
      </c>
      <c r="I38" s="36">
        <v>17.399999999999999</v>
      </c>
      <c r="J38" s="36"/>
      <c r="K38" s="36">
        <f>durvis!B7*2</f>
        <v>1.8</v>
      </c>
      <c r="L38" s="20"/>
      <c r="M38" s="19">
        <f t="shared" ref="M38" si="12">H38*$J$3-J38</f>
        <v>51.300000000000004</v>
      </c>
      <c r="N38" s="11" t="s">
        <v>38</v>
      </c>
      <c r="O38" s="11"/>
      <c r="P38" s="21">
        <f t="shared" ref="P38:P51" si="13">C38</f>
        <v>17.2</v>
      </c>
      <c r="Q38" s="14"/>
    </row>
    <row r="39" spans="1:17">
      <c r="A39" s="10">
        <v>6</v>
      </c>
      <c r="B39" s="5" t="s">
        <v>9</v>
      </c>
      <c r="C39" s="51">
        <v>2.7</v>
      </c>
      <c r="D39" s="1" t="s">
        <v>14</v>
      </c>
      <c r="E39" s="50">
        <f t="shared" si="0"/>
        <v>2.7</v>
      </c>
      <c r="F39" s="1" t="s">
        <v>18</v>
      </c>
      <c r="G39" s="48">
        <f t="shared" si="1"/>
        <v>6.25</v>
      </c>
      <c r="H39" s="36">
        <v>7.05</v>
      </c>
      <c r="I39" s="36">
        <v>2.7</v>
      </c>
      <c r="J39" s="36"/>
      <c r="K39" s="36">
        <f>durvis!B6</f>
        <v>0.8</v>
      </c>
      <c r="L39" s="20">
        <f t="shared" si="2"/>
        <v>14.1</v>
      </c>
      <c r="M39" s="19">
        <f t="shared" si="3"/>
        <v>7.0499999999999989</v>
      </c>
      <c r="N39" s="11" t="s">
        <v>38</v>
      </c>
      <c r="O39" s="11"/>
      <c r="P39" s="21">
        <f t="shared" si="13"/>
        <v>2.7</v>
      </c>
      <c r="Q39" s="14"/>
    </row>
    <row r="40" spans="1:17">
      <c r="A40" s="10">
        <v>7</v>
      </c>
      <c r="B40" s="5" t="s">
        <v>11</v>
      </c>
      <c r="C40" s="51">
        <v>1.4</v>
      </c>
      <c r="D40" s="1" t="s">
        <v>14</v>
      </c>
      <c r="E40" s="50">
        <f t="shared" si="0"/>
        <v>1.39</v>
      </c>
      <c r="F40" s="1" t="s">
        <v>18</v>
      </c>
      <c r="G40" s="48">
        <f t="shared" si="1"/>
        <v>4.28</v>
      </c>
      <c r="H40" s="36">
        <v>4.9800000000000004</v>
      </c>
      <c r="I40" s="36">
        <v>1.39</v>
      </c>
      <c r="J40" s="36"/>
      <c r="K40" s="36">
        <f>durvis!B5</f>
        <v>0.7</v>
      </c>
      <c r="L40" s="20">
        <f t="shared" si="2"/>
        <v>9.9600000000000009</v>
      </c>
      <c r="M40" s="19">
        <f t="shared" si="3"/>
        <v>4.9800000000000004</v>
      </c>
      <c r="N40" s="11"/>
      <c r="O40" s="11"/>
      <c r="P40" s="21">
        <f t="shared" si="13"/>
        <v>1.4</v>
      </c>
      <c r="Q40" s="14"/>
    </row>
    <row r="41" spans="1:17">
      <c r="A41" s="10">
        <v>8</v>
      </c>
      <c r="B41" s="5" t="s">
        <v>34</v>
      </c>
      <c r="C41" s="51">
        <v>72.2</v>
      </c>
      <c r="D41" s="1" t="s">
        <v>13</v>
      </c>
      <c r="E41" s="50">
        <f t="shared" si="0"/>
        <v>72.38</v>
      </c>
      <c r="F41" s="1" t="s">
        <v>16</v>
      </c>
      <c r="G41" s="48">
        <f t="shared" si="1"/>
        <v>34.69</v>
      </c>
      <c r="H41" s="36">
        <v>37.19</v>
      </c>
      <c r="I41" s="36">
        <v>72.38</v>
      </c>
      <c r="J41" s="36">
        <f>logi!E5*4+logi!E7</f>
        <v>19.2</v>
      </c>
      <c r="K41" s="36">
        <f>durvis!B6*2+durvis!B7</f>
        <v>2.5</v>
      </c>
      <c r="L41" s="20"/>
      <c r="M41" s="19">
        <f t="shared" ref="M41:M43" si="14">H41*$J$3-J41</f>
        <v>92.36999999999999</v>
      </c>
      <c r="N41" s="11" t="s">
        <v>38</v>
      </c>
      <c r="O41" s="11"/>
      <c r="P41" s="21">
        <f t="shared" si="13"/>
        <v>72.2</v>
      </c>
      <c r="Q41" s="14"/>
    </row>
    <row r="42" spans="1:17">
      <c r="A42" s="10">
        <v>9</v>
      </c>
      <c r="B42" s="5" t="s">
        <v>35</v>
      </c>
      <c r="C42" s="51">
        <v>59.7</v>
      </c>
      <c r="D42" s="1" t="s">
        <v>13</v>
      </c>
      <c r="E42" s="50">
        <f t="shared" si="0"/>
        <v>59.86</v>
      </c>
      <c r="F42" s="1" t="s">
        <v>16</v>
      </c>
      <c r="G42" s="48">
        <f t="shared" si="1"/>
        <v>31.42</v>
      </c>
      <c r="H42" s="36">
        <v>32.32</v>
      </c>
      <c r="I42" s="36">
        <v>59.86</v>
      </c>
      <c r="J42" s="36">
        <f>logi!E5*2+logi!E7+logi!E5</f>
        <v>15.6</v>
      </c>
      <c r="K42" s="36">
        <f>durvis!B7</f>
        <v>0.9</v>
      </c>
      <c r="L42" s="20"/>
      <c r="M42" s="19">
        <f t="shared" si="14"/>
        <v>81.360000000000014</v>
      </c>
      <c r="N42" s="11" t="s">
        <v>38</v>
      </c>
      <c r="O42" s="11"/>
      <c r="P42" s="21">
        <f t="shared" si="13"/>
        <v>59.7</v>
      </c>
      <c r="Q42" s="14"/>
    </row>
    <row r="43" spans="1:17">
      <c r="A43" s="10">
        <v>10</v>
      </c>
      <c r="B43" s="5" t="s">
        <v>33</v>
      </c>
      <c r="C43" s="51">
        <v>36.6</v>
      </c>
      <c r="D43" s="1" t="s">
        <v>13</v>
      </c>
      <c r="E43" s="50">
        <f t="shared" si="0"/>
        <v>36.909999999999997</v>
      </c>
      <c r="F43" s="1" t="s">
        <v>16</v>
      </c>
      <c r="G43" s="48">
        <f t="shared" si="1"/>
        <v>25.16</v>
      </c>
      <c r="H43" s="36">
        <v>27.86</v>
      </c>
      <c r="I43" s="36">
        <v>36.909999999999997</v>
      </c>
      <c r="J43" s="36"/>
      <c r="K43" s="36">
        <f>durvis!B7*3</f>
        <v>2.7</v>
      </c>
      <c r="L43" s="20"/>
      <c r="M43" s="19">
        <f t="shared" si="14"/>
        <v>83.58</v>
      </c>
      <c r="N43" s="11" t="s">
        <v>38</v>
      </c>
      <c r="O43" s="11"/>
      <c r="P43" s="21">
        <f t="shared" si="13"/>
        <v>36.6</v>
      </c>
      <c r="Q43" s="14"/>
    </row>
    <row r="44" spans="1:17">
      <c r="A44" s="10">
        <v>11</v>
      </c>
      <c r="B44" s="5" t="s">
        <v>11</v>
      </c>
      <c r="C44" s="51">
        <v>1.2</v>
      </c>
      <c r="D44" s="1" t="s">
        <v>14</v>
      </c>
      <c r="E44" s="50">
        <f t="shared" si="0"/>
        <v>1.23</v>
      </c>
      <c r="F44" s="1" t="s">
        <v>18</v>
      </c>
      <c r="G44" s="48">
        <f t="shared" si="1"/>
        <v>3.9699999999999998</v>
      </c>
      <c r="H44" s="36">
        <v>4.67</v>
      </c>
      <c r="I44" s="36">
        <v>1.23</v>
      </c>
      <c r="J44" s="36"/>
      <c r="K44" s="36">
        <f>durvis!B5</f>
        <v>0.7</v>
      </c>
      <c r="L44" s="20">
        <f t="shared" ref="L44:L50" si="15">H44*2</f>
        <v>9.34</v>
      </c>
      <c r="M44" s="19">
        <f t="shared" ref="M44:M50" si="16">H44*$K$3-L44</f>
        <v>4.67</v>
      </c>
      <c r="N44" s="11" t="s">
        <v>38</v>
      </c>
      <c r="O44" s="11"/>
      <c r="P44" s="21">
        <f t="shared" si="13"/>
        <v>1.2</v>
      </c>
      <c r="Q44" s="14"/>
    </row>
    <row r="45" spans="1:17">
      <c r="A45" s="10">
        <v>12</v>
      </c>
      <c r="B45" s="5" t="s">
        <v>9</v>
      </c>
      <c r="C45" s="51">
        <v>3.5</v>
      </c>
      <c r="D45" s="1" t="s">
        <v>14</v>
      </c>
      <c r="E45" s="50">
        <f t="shared" si="0"/>
        <v>3.53</v>
      </c>
      <c r="F45" s="1" t="s">
        <v>18</v>
      </c>
      <c r="G45" s="48">
        <f t="shared" si="1"/>
        <v>7.1000000000000005</v>
      </c>
      <c r="H45" s="36">
        <v>7.9</v>
      </c>
      <c r="I45" s="36">
        <v>3.53</v>
      </c>
      <c r="J45" s="36"/>
      <c r="K45" s="36">
        <f>durvis!B6</f>
        <v>0.8</v>
      </c>
      <c r="L45" s="20">
        <f t="shared" si="15"/>
        <v>15.8</v>
      </c>
      <c r="M45" s="19">
        <f t="shared" si="16"/>
        <v>7.9000000000000021</v>
      </c>
      <c r="N45" s="11" t="s">
        <v>38</v>
      </c>
      <c r="O45" s="11"/>
      <c r="P45" s="21">
        <f t="shared" si="13"/>
        <v>3.5</v>
      </c>
      <c r="Q45" s="14"/>
    </row>
    <row r="46" spans="1:17">
      <c r="A46" s="10">
        <v>13</v>
      </c>
      <c r="B46" s="5" t="s">
        <v>11</v>
      </c>
      <c r="C46" s="51">
        <v>11.7</v>
      </c>
      <c r="D46" s="1" t="s">
        <v>14</v>
      </c>
      <c r="E46" s="50">
        <f t="shared" si="0"/>
        <v>11.75</v>
      </c>
      <c r="F46" s="1" t="s">
        <v>18</v>
      </c>
      <c r="G46" s="48">
        <f t="shared" si="1"/>
        <v>15.350000000000001</v>
      </c>
      <c r="H46" s="36">
        <v>16.850000000000001</v>
      </c>
      <c r="I46" s="36">
        <v>11.75</v>
      </c>
      <c r="J46" s="37">
        <f>logi!E8</f>
        <v>3</v>
      </c>
      <c r="K46" s="36">
        <f>durvis!B5+durvis!B6</f>
        <v>1.5</v>
      </c>
      <c r="L46" s="20">
        <f t="shared" si="15"/>
        <v>33.700000000000003</v>
      </c>
      <c r="M46" s="19">
        <f t="shared" si="16"/>
        <v>16.850000000000001</v>
      </c>
      <c r="N46" s="11" t="s">
        <v>38</v>
      </c>
      <c r="O46" s="11"/>
      <c r="P46" s="21">
        <f t="shared" si="13"/>
        <v>11.7</v>
      </c>
      <c r="Q46" s="14"/>
    </row>
    <row r="47" spans="1:17">
      <c r="A47" s="10">
        <v>14</v>
      </c>
      <c r="B47" s="5" t="s">
        <v>36</v>
      </c>
      <c r="C47" s="51">
        <v>70.900000000000006</v>
      </c>
      <c r="D47" s="1" t="s">
        <v>13</v>
      </c>
      <c r="E47" s="50">
        <f t="shared" si="0"/>
        <v>70.56</v>
      </c>
      <c r="F47" s="1" t="s">
        <v>16</v>
      </c>
      <c r="G47" s="48">
        <f t="shared" si="1"/>
        <v>34.659999999999997</v>
      </c>
      <c r="H47" s="36">
        <v>37.159999999999997</v>
      </c>
      <c r="I47" s="36">
        <v>70.56</v>
      </c>
      <c r="J47" s="36">
        <f>logi!E5*4+logi!E7</f>
        <v>19.2</v>
      </c>
      <c r="K47" s="36">
        <f>durvis!B6*2+durvis!B7</f>
        <v>2.5</v>
      </c>
      <c r="L47" s="20"/>
      <c r="M47" s="19">
        <f t="shared" ref="M47" si="17">H47*$J$3-J47</f>
        <v>92.279999999999987</v>
      </c>
      <c r="N47" s="11" t="s">
        <v>38</v>
      </c>
      <c r="O47" s="11"/>
      <c r="P47" s="21">
        <f t="shared" si="13"/>
        <v>70.900000000000006</v>
      </c>
      <c r="Q47" s="14"/>
    </row>
    <row r="48" spans="1:17">
      <c r="A48" s="10">
        <v>15</v>
      </c>
      <c r="B48" s="5" t="s">
        <v>11</v>
      </c>
      <c r="C48" s="51">
        <v>1.3</v>
      </c>
      <c r="D48" s="1" t="s">
        <v>14</v>
      </c>
      <c r="E48" s="50">
        <f t="shared" si="0"/>
        <v>1.34</v>
      </c>
      <c r="F48" s="1" t="s">
        <v>18</v>
      </c>
      <c r="G48" s="48">
        <f t="shared" si="1"/>
        <v>4.26</v>
      </c>
      <c r="H48" s="36">
        <v>4.96</v>
      </c>
      <c r="I48" s="36">
        <v>1.34</v>
      </c>
      <c r="J48" s="36"/>
      <c r="K48" s="36">
        <f>durvis!B5</f>
        <v>0.7</v>
      </c>
      <c r="L48" s="20">
        <f t="shared" si="15"/>
        <v>9.92</v>
      </c>
      <c r="M48" s="19">
        <f t="shared" si="16"/>
        <v>4.9599999999999991</v>
      </c>
      <c r="N48" s="11" t="s">
        <v>38</v>
      </c>
      <c r="O48" s="11"/>
      <c r="P48" s="21">
        <f t="shared" si="13"/>
        <v>1.3</v>
      </c>
    </row>
    <row r="49" spans="1:16">
      <c r="A49" s="10">
        <v>16</v>
      </c>
      <c r="B49" s="5" t="s">
        <v>9</v>
      </c>
      <c r="C49" s="51">
        <v>2.2999999999999998</v>
      </c>
      <c r="D49" s="1" t="s">
        <v>14</v>
      </c>
      <c r="E49" s="50">
        <f t="shared" si="0"/>
        <v>2.34</v>
      </c>
      <c r="F49" s="1" t="s">
        <v>18</v>
      </c>
      <c r="G49" s="48">
        <f t="shared" si="1"/>
        <v>5.25</v>
      </c>
      <c r="H49" s="36">
        <v>6.05</v>
      </c>
      <c r="I49" s="36">
        <v>2.34</v>
      </c>
      <c r="J49" s="36"/>
      <c r="K49" s="36">
        <f>durvis!B6</f>
        <v>0.8</v>
      </c>
      <c r="L49" s="20">
        <f t="shared" si="15"/>
        <v>12.1</v>
      </c>
      <c r="M49" s="19">
        <f t="shared" si="16"/>
        <v>6.0499999999999989</v>
      </c>
      <c r="N49" s="11" t="s">
        <v>38</v>
      </c>
      <c r="O49" s="11"/>
      <c r="P49" s="21">
        <f t="shared" si="13"/>
        <v>2.2999999999999998</v>
      </c>
    </row>
    <row r="50" spans="1:16">
      <c r="A50" s="10">
        <v>17</v>
      </c>
      <c r="B50" s="5" t="s">
        <v>11</v>
      </c>
      <c r="C50" s="51">
        <v>10.3</v>
      </c>
      <c r="D50" s="1" t="s">
        <v>14</v>
      </c>
      <c r="E50" s="50">
        <f t="shared" si="0"/>
        <v>10.37</v>
      </c>
      <c r="F50" s="1" t="s">
        <v>18</v>
      </c>
      <c r="G50" s="48">
        <f t="shared" si="1"/>
        <v>13.9</v>
      </c>
      <c r="H50" s="36">
        <v>15.5</v>
      </c>
      <c r="I50" s="36">
        <v>10.37</v>
      </c>
      <c r="J50" s="36"/>
      <c r="K50" s="36">
        <f>durvis!B7+durvis!B5</f>
        <v>1.6</v>
      </c>
      <c r="L50" s="20">
        <f t="shared" si="15"/>
        <v>31</v>
      </c>
      <c r="M50" s="19">
        <f t="shared" si="16"/>
        <v>15.5</v>
      </c>
      <c r="N50" s="11" t="s">
        <v>38</v>
      </c>
      <c r="O50" s="11"/>
      <c r="P50" s="21">
        <f t="shared" si="13"/>
        <v>10.3</v>
      </c>
    </row>
    <row r="51" spans="1:16">
      <c r="A51" s="18">
        <v>18</v>
      </c>
      <c r="B51" s="5" t="s">
        <v>37</v>
      </c>
      <c r="C51" s="51">
        <v>79.5</v>
      </c>
      <c r="D51" s="1" t="s">
        <v>13</v>
      </c>
      <c r="E51" s="50">
        <f t="shared" si="0"/>
        <v>79.569999999999993</v>
      </c>
      <c r="F51" s="1" t="s">
        <v>16</v>
      </c>
      <c r="G51" s="48">
        <f t="shared" si="1"/>
        <v>42.9</v>
      </c>
      <c r="H51" s="36">
        <v>45.5</v>
      </c>
      <c r="I51" s="36">
        <v>79.569999999999993</v>
      </c>
      <c r="J51" s="36">
        <f>logi!E5*2+logi!E7*3</f>
        <v>21.599999999999998</v>
      </c>
      <c r="K51" s="36">
        <f>durvis!B7*2+durvis!B6</f>
        <v>2.6</v>
      </c>
      <c r="L51" s="20"/>
      <c r="M51" s="19">
        <f t="shared" ref="M51" si="18">H51*$J$3-J51</f>
        <v>114.9</v>
      </c>
      <c r="N51" s="11" t="s">
        <v>38</v>
      </c>
      <c r="O51" s="11"/>
      <c r="P51" s="21">
        <f t="shared" si="13"/>
        <v>79.5</v>
      </c>
    </row>
    <row r="52" spans="1:16">
      <c r="C52" s="52">
        <f>SUM(C33:C51)</f>
        <v>448.60000000000008</v>
      </c>
      <c r="E52" s="52">
        <f>SUM(E33:E51)</f>
        <v>449.70999999999992</v>
      </c>
    </row>
    <row r="54" spans="1:16">
      <c r="C54" s="52">
        <f>C31+C52</f>
        <v>915.88</v>
      </c>
      <c r="E54" s="52">
        <f>E31+E52</f>
        <v>905.29</v>
      </c>
    </row>
  </sheetData>
  <mergeCells count="11">
    <mergeCell ref="A32:B32"/>
    <mergeCell ref="D2:G3"/>
    <mergeCell ref="L2:M3"/>
    <mergeCell ref="N2:P2"/>
    <mergeCell ref="N3:N4"/>
    <mergeCell ref="A5:B5"/>
    <mergeCell ref="H3:I3"/>
    <mergeCell ref="O3:P3"/>
    <mergeCell ref="A2:A4"/>
    <mergeCell ref="B2:B4"/>
    <mergeCell ref="C2:C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H23"/>
  <sheetViews>
    <sheetView workbookViewId="0">
      <selection activeCell="E7" sqref="E7"/>
    </sheetView>
  </sheetViews>
  <sheetFormatPr defaultRowHeight="15"/>
  <sheetData>
    <row r="4" spans="1:8">
      <c r="A4" s="1" t="s">
        <v>56</v>
      </c>
      <c r="B4" s="1" t="s">
        <v>49</v>
      </c>
      <c r="C4" s="1" t="s">
        <v>50</v>
      </c>
      <c r="D4" s="1" t="s">
        <v>51</v>
      </c>
      <c r="E4" s="1" t="s">
        <v>52</v>
      </c>
      <c r="F4" s="1" t="s">
        <v>53</v>
      </c>
      <c r="G4" s="1" t="s">
        <v>54</v>
      </c>
      <c r="H4" s="1" t="s">
        <v>55</v>
      </c>
    </row>
    <row r="5" spans="1:8">
      <c r="A5" s="1" t="s">
        <v>57</v>
      </c>
      <c r="B5" s="1">
        <v>0.7</v>
      </c>
      <c r="C5" s="1">
        <v>2.1</v>
      </c>
      <c r="D5" s="1">
        <v>4</v>
      </c>
      <c r="E5" s="1">
        <v>2</v>
      </c>
      <c r="F5" s="1">
        <f>D5+E5</f>
        <v>6</v>
      </c>
      <c r="G5" s="27">
        <f>B5*C5</f>
        <v>1.47</v>
      </c>
      <c r="H5" s="27">
        <f>G5*F5</f>
        <v>8.82</v>
      </c>
    </row>
    <row r="6" spans="1:8">
      <c r="A6" s="1" t="s">
        <v>58</v>
      </c>
      <c r="B6" s="1">
        <v>0.8</v>
      </c>
      <c r="C6" s="1">
        <v>2.1</v>
      </c>
      <c r="D6" s="1">
        <v>1</v>
      </c>
      <c r="E6" s="1">
        <v>9</v>
      </c>
      <c r="F6" s="1">
        <f t="shared" ref="F6:F17" si="0">D6+E6</f>
        <v>10</v>
      </c>
      <c r="G6" s="27">
        <f t="shared" ref="G6:G17" si="1">B6*C6</f>
        <v>1.6800000000000002</v>
      </c>
      <c r="H6" s="27">
        <f t="shared" ref="H6:H17" si="2">G6*F6</f>
        <v>16.8</v>
      </c>
    </row>
    <row r="7" spans="1:8">
      <c r="A7" s="1" t="s">
        <v>59</v>
      </c>
      <c r="B7" s="1">
        <v>0.9</v>
      </c>
      <c r="C7" s="1">
        <v>2.1</v>
      </c>
      <c r="D7" s="1">
        <v>5</v>
      </c>
      <c r="E7" s="1">
        <v>7</v>
      </c>
      <c r="F7" s="1">
        <f t="shared" si="0"/>
        <v>12</v>
      </c>
      <c r="G7" s="27">
        <f t="shared" si="1"/>
        <v>1.8900000000000001</v>
      </c>
      <c r="H7" s="27">
        <f t="shared" si="2"/>
        <v>22.68</v>
      </c>
    </row>
    <row r="8" spans="1:8">
      <c r="A8" s="1" t="s">
        <v>60</v>
      </c>
      <c r="B8" s="1">
        <v>1.78</v>
      </c>
      <c r="C8" s="1">
        <v>2.08</v>
      </c>
      <c r="D8" s="1"/>
      <c r="E8" s="1">
        <v>1</v>
      </c>
      <c r="F8" s="1">
        <f t="shared" si="0"/>
        <v>1</v>
      </c>
      <c r="G8" s="27">
        <f t="shared" si="1"/>
        <v>3.7024000000000004</v>
      </c>
      <c r="H8" s="27">
        <f t="shared" si="2"/>
        <v>3.7024000000000004</v>
      </c>
    </row>
    <row r="9" spans="1:8">
      <c r="A9" s="1" t="s">
        <v>61</v>
      </c>
      <c r="B9" s="1">
        <v>0.9</v>
      </c>
      <c r="C9" s="1">
        <v>2.1</v>
      </c>
      <c r="D9" s="1">
        <v>1</v>
      </c>
      <c r="E9" s="1">
        <v>3</v>
      </c>
      <c r="F9" s="1">
        <f t="shared" si="0"/>
        <v>4</v>
      </c>
      <c r="G9" s="27">
        <f t="shared" si="1"/>
        <v>1.8900000000000001</v>
      </c>
      <c r="H9" s="27">
        <f t="shared" si="2"/>
        <v>7.5600000000000005</v>
      </c>
    </row>
    <row r="10" spans="1:8">
      <c r="A10" s="1" t="s">
        <v>62</v>
      </c>
      <c r="B10" s="1">
        <v>1</v>
      </c>
      <c r="C10" s="1">
        <v>2.1</v>
      </c>
      <c r="D10" s="1"/>
      <c r="E10" s="1">
        <v>1</v>
      </c>
      <c r="F10" s="1">
        <f t="shared" si="0"/>
        <v>1</v>
      </c>
      <c r="G10" s="27">
        <f t="shared" si="1"/>
        <v>2.1</v>
      </c>
      <c r="H10" s="27">
        <f t="shared" si="2"/>
        <v>2.1</v>
      </c>
    </row>
    <row r="11" spans="1:8">
      <c r="A11" s="1" t="s">
        <v>63</v>
      </c>
      <c r="B11" s="1">
        <v>1</v>
      </c>
      <c r="C11" s="1">
        <v>2.1</v>
      </c>
      <c r="D11" s="1"/>
      <c r="E11" s="1">
        <v>1</v>
      </c>
      <c r="F11" s="1">
        <f t="shared" si="0"/>
        <v>1</v>
      </c>
      <c r="G11" s="27">
        <f t="shared" si="1"/>
        <v>2.1</v>
      </c>
      <c r="H11" s="27">
        <f t="shared" si="2"/>
        <v>2.1</v>
      </c>
    </row>
    <row r="12" spans="1:8">
      <c r="A12" s="1" t="s">
        <v>64</v>
      </c>
      <c r="B12" s="1">
        <v>1</v>
      </c>
      <c r="C12" s="1">
        <v>2.1</v>
      </c>
      <c r="D12" s="1"/>
      <c r="E12" s="1">
        <v>1</v>
      </c>
      <c r="F12" s="1">
        <f t="shared" si="0"/>
        <v>1</v>
      </c>
      <c r="G12" s="27">
        <f t="shared" si="1"/>
        <v>2.1</v>
      </c>
      <c r="H12" s="27">
        <f t="shared" si="2"/>
        <v>2.1</v>
      </c>
    </row>
    <row r="13" spans="1:8">
      <c r="A13" s="1" t="s">
        <v>65</v>
      </c>
      <c r="B13" s="1">
        <v>1.7</v>
      </c>
      <c r="C13" s="1">
        <v>2.6</v>
      </c>
      <c r="D13" s="1">
        <v>1</v>
      </c>
      <c r="E13" s="1"/>
      <c r="F13" s="1">
        <f t="shared" si="0"/>
        <v>1</v>
      </c>
      <c r="G13" s="27">
        <f t="shared" si="1"/>
        <v>4.42</v>
      </c>
      <c r="H13" s="27">
        <f t="shared" si="2"/>
        <v>4.42</v>
      </c>
    </row>
    <row r="14" spans="1:8">
      <c r="A14" s="1" t="s">
        <v>78</v>
      </c>
      <c r="B14" s="1">
        <v>2.4</v>
      </c>
      <c r="C14" s="1">
        <v>2.4</v>
      </c>
      <c r="D14" s="1">
        <v>1</v>
      </c>
      <c r="E14" s="1"/>
      <c r="F14" s="1">
        <f t="shared" si="0"/>
        <v>1</v>
      </c>
      <c r="G14" s="27">
        <f t="shared" si="1"/>
        <v>5.76</v>
      </c>
      <c r="H14" s="27">
        <f t="shared" si="2"/>
        <v>5.76</v>
      </c>
    </row>
    <row r="15" spans="1:8">
      <c r="A15" s="1" t="s">
        <v>67</v>
      </c>
      <c r="B15" s="1">
        <v>1.1599999999999999</v>
      </c>
      <c r="C15" s="1">
        <v>2.1</v>
      </c>
      <c r="D15" s="1"/>
      <c r="E15" s="1">
        <v>1</v>
      </c>
      <c r="F15" s="1">
        <f t="shared" si="0"/>
        <v>1</v>
      </c>
      <c r="G15" s="27">
        <f t="shared" si="1"/>
        <v>2.4359999999999999</v>
      </c>
      <c r="H15" s="27">
        <f t="shared" si="2"/>
        <v>2.4359999999999999</v>
      </c>
    </row>
    <row r="16" spans="1:8">
      <c r="A16" s="1" t="s">
        <v>66</v>
      </c>
      <c r="B16" s="1">
        <v>2.2450000000000001</v>
      </c>
      <c r="C16" s="1">
        <v>2.4</v>
      </c>
      <c r="D16" s="1"/>
      <c r="E16" s="1">
        <v>1</v>
      </c>
      <c r="F16" s="1">
        <f t="shared" si="0"/>
        <v>1</v>
      </c>
      <c r="G16" s="27">
        <f t="shared" si="1"/>
        <v>5.3879999999999999</v>
      </c>
      <c r="H16" s="27">
        <f t="shared" si="2"/>
        <v>5.3879999999999999</v>
      </c>
    </row>
    <row r="17" spans="1:8">
      <c r="A17" s="1" t="s">
        <v>79</v>
      </c>
      <c r="B17" s="1">
        <v>1.2</v>
      </c>
      <c r="C17" s="1">
        <v>2.1</v>
      </c>
      <c r="D17" s="1"/>
      <c r="E17" s="1">
        <v>1</v>
      </c>
      <c r="F17" s="1">
        <f t="shared" si="0"/>
        <v>1</v>
      </c>
      <c r="G17" s="27">
        <f t="shared" si="1"/>
        <v>2.52</v>
      </c>
      <c r="H17" s="27">
        <f t="shared" si="2"/>
        <v>2.52</v>
      </c>
    </row>
    <row r="18" spans="1:8">
      <c r="A18" s="1" t="s">
        <v>75</v>
      </c>
      <c r="B18" s="1">
        <v>2.1</v>
      </c>
      <c r="C18" s="1">
        <v>2.4</v>
      </c>
      <c r="D18" s="1"/>
      <c r="E18" s="1">
        <v>1</v>
      </c>
      <c r="F18" s="1">
        <f t="shared" ref="F18:F19" si="3">D18+E18</f>
        <v>1</v>
      </c>
      <c r="G18" s="27">
        <f t="shared" ref="G18:G19" si="4">B18*C18</f>
        <v>5.04</v>
      </c>
      <c r="H18" s="27">
        <f t="shared" ref="H18:H19" si="5">G18*F18</f>
        <v>5.04</v>
      </c>
    </row>
    <row r="19" spans="1:8">
      <c r="A19" s="1" t="s">
        <v>76</v>
      </c>
      <c r="B19" s="1">
        <v>2.25</v>
      </c>
      <c r="C19" s="1">
        <v>2.4</v>
      </c>
      <c r="D19" s="1"/>
      <c r="E19" s="1">
        <v>1</v>
      </c>
      <c r="F19" s="1">
        <f t="shared" si="3"/>
        <v>1</v>
      </c>
      <c r="G19" s="27">
        <f t="shared" si="4"/>
        <v>5.3999999999999995</v>
      </c>
      <c r="H19" s="27">
        <f t="shared" si="5"/>
        <v>5.3999999999999995</v>
      </c>
    </row>
    <row r="20" spans="1:8">
      <c r="H20" s="41">
        <f>SUM(H5:H19)</f>
        <v>96.826400000000007</v>
      </c>
    </row>
    <row r="23" spans="1:8">
      <c r="B23" t="s">
        <v>42</v>
      </c>
      <c r="C23">
        <f>(B8+C8)*2+(B11+C11)*2+(B12+C12)*2+(B13+C13)*2+(B14+C14)*2</f>
        <v>38.32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F13"/>
  <sheetViews>
    <sheetView workbookViewId="0">
      <selection activeCell="A10" sqref="A10"/>
    </sheetView>
  </sheetViews>
  <sheetFormatPr defaultRowHeight="15"/>
  <sheetData>
    <row r="3" spans="1:6">
      <c r="A3" s="1" t="s">
        <v>56</v>
      </c>
      <c r="B3" s="1" t="s">
        <v>49</v>
      </c>
      <c r="C3" s="1" t="s">
        <v>50</v>
      </c>
      <c r="D3" s="1" t="s">
        <v>53</v>
      </c>
      <c r="E3" s="1" t="s">
        <v>54</v>
      </c>
      <c r="F3" s="1" t="s">
        <v>55</v>
      </c>
    </row>
    <row r="4" spans="1:6">
      <c r="A4" s="1" t="s">
        <v>68</v>
      </c>
      <c r="B4" s="1">
        <v>1.8</v>
      </c>
      <c r="C4" s="1">
        <v>1.6</v>
      </c>
      <c r="D4" s="1">
        <v>1</v>
      </c>
      <c r="E4" s="27">
        <f>B4*C4</f>
        <v>2.8800000000000003</v>
      </c>
      <c r="F4" s="27">
        <f>E4*D4</f>
        <v>2.8800000000000003</v>
      </c>
    </row>
    <row r="5" spans="1:6">
      <c r="A5" s="1" t="s">
        <v>69</v>
      </c>
      <c r="B5" s="1">
        <v>1.8</v>
      </c>
      <c r="C5" s="1">
        <v>2</v>
      </c>
      <c r="D5" s="1">
        <v>23</v>
      </c>
      <c r="E5" s="27">
        <f t="shared" ref="E5:E8" si="0">B5*C5</f>
        <v>3.6</v>
      </c>
      <c r="F5" s="27">
        <f t="shared" ref="F5:F8" si="1">E5*D5</f>
        <v>82.8</v>
      </c>
    </row>
    <row r="6" spans="1:6">
      <c r="A6" s="1" t="s">
        <v>70</v>
      </c>
      <c r="B6" s="1">
        <v>2</v>
      </c>
      <c r="C6" s="1">
        <v>2</v>
      </c>
      <c r="D6" s="1">
        <v>5</v>
      </c>
      <c r="E6" s="27">
        <f t="shared" si="0"/>
        <v>4</v>
      </c>
      <c r="F6" s="27">
        <f t="shared" si="1"/>
        <v>20</v>
      </c>
    </row>
    <row r="7" spans="1:6">
      <c r="A7" s="1" t="s">
        <v>71</v>
      </c>
      <c r="B7" s="1">
        <v>2.4</v>
      </c>
      <c r="C7" s="1">
        <v>2</v>
      </c>
      <c r="D7" s="1">
        <v>11</v>
      </c>
      <c r="E7" s="27">
        <f t="shared" si="0"/>
        <v>4.8</v>
      </c>
      <c r="F7" s="27">
        <f t="shared" si="1"/>
        <v>52.8</v>
      </c>
    </row>
    <row r="8" spans="1:6">
      <c r="A8" s="1" t="s">
        <v>72</v>
      </c>
      <c r="B8" s="1">
        <v>1.5</v>
      </c>
      <c r="C8" s="1">
        <v>2</v>
      </c>
      <c r="D8" s="1">
        <v>2</v>
      </c>
      <c r="E8" s="27">
        <f t="shared" si="0"/>
        <v>3</v>
      </c>
      <c r="F8" s="27">
        <f t="shared" si="1"/>
        <v>6</v>
      </c>
    </row>
    <row r="9" spans="1:6">
      <c r="A9" s="1" t="s">
        <v>85</v>
      </c>
      <c r="B9" s="1">
        <v>1.4</v>
      </c>
      <c r="C9" s="1">
        <v>0.38200000000000001</v>
      </c>
      <c r="D9" s="1">
        <v>1</v>
      </c>
      <c r="E9" s="27">
        <f>B9*C9/2</f>
        <v>0.26739999999999997</v>
      </c>
      <c r="F9" s="27">
        <f>E9*D9</f>
        <v>0.26739999999999997</v>
      </c>
    </row>
    <row r="10" spans="1:6">
      <c r="F10" s="41">
        <f>SUM(F4:F9)</f>
        <v>164.7474</v>
      </c>
    </row>
    <row r="13" spans="1:6">
      <c r="B13" t="s">
        <v>42</v>
      </c>
      <c r="C13">
        <f>(B4+C4)*2+(B5+C5)*2*D5+(B6+C6)*2*D6+(B7+C7)*2*D7+(B8+C8)*2+(B9+C9)*2</f>
        <v>328.964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J21"/>
  <sheetViews>
    <sheetView workbookViewId="0">
      <selection activeCell="A6" sqref="A6:J19"/>
    </sheetView>
  </sheetViews>
  <sheetFormatPr defaultRowHeight="15"/>
  <cols>
    <col min="1" max="1" width="7" bestFit="1" customWidth="1"/>
    <col min="2" max="2" width="12.85546875" bestFit="1" customWidth="1"/>
    <col min="3" max="3" width="6" bestFit="1" customWidth="1"/>
    <col min="4" max="4" width="5.7109375" bestFit="1" customWidth="1"/>
    <col min="5" max="5" width="10.7109375" bestFit="1" customWidth="1"/>
    <col min="6" max="6" width="10.42578125" bestFit="1" customWidth="1"/>
    <col min="7" max="7" width="6.140625" bestFit="1" customWidth="1"/>
    <col min="8" max="8" width="8.5703125" customWidth="1"/>
    <col min="9" max="9" width="9.7109375" bestFit="1" customWidth="1"/>
    <col min="10" max="10" width="10.7109375" bestFit="1" customWidth="1"/>
  </cols>
  <sheetData>
    <row r="2" spans="1:10">
      <c r="E2">
        <v>2.948</v>
      </c>
    </row>
    <row r="3" spans="1:10">
      <c r="C3">
        <v>1.4319999999999999</v>
      </c>
      <c r="E3">
        <v>2.302</v>
      </c>
    </row>
    <row r="4" spans="1:10">
      <c r="E4">
        <v>1.2629999999999999</v>
      </c>
    </row>
    <row r="6" spans="1:10">
      <c r="A6" s="1" t="s">
        <v>97</v>
      </c>
      <c r="B6" s="1" t="s">
        <v>98</v>
      </c>
      <c r="C6" s="1" t="s">
        <v>99</v>
      </c>
      <c r="D6" s="1" t="s">
        <v>100</v>
      </c>
      <c r="E6" s="1" t="s">
        <v>101</v>
      </c>
      <c r="F6" s="1" t="s">
        <v>102</v>
      </c>
      <c r="G6" s="1" t="s">
        <v>86</v>
      </c>
      <c r="H6" s="11" t="s">
        <v>87</v>
      </c>
      <c r="I6" s="1" t="s">
        <v>103</v>
      </c>
      <c r="J6" s="1" t="s">
        <v>104</v>
      </c>
    </row>
    <row r="7" spans="1:10">
      <c r="A7" s="11">
        <v>1</v>
      </c>
      <c r="B7" s="1" t="s">
        <v>90</v>
      </c>
      <c r="C7" s="11">
        <v>15</v>
      </c>
      <c r="D7" s="11">
        <v>15</v>
      </c>
      <c r="E7" s="11">
        <f>C7/100*D7/100</f>
        <v>2.2499999999999999E-2</v>
      </c>
      <c r="F7" s="11">
        <v>2.5</v>
      </c>
      <c r="G7" s="11">
        <v>6</v>
      </c>
      <c r="H7" s="45">
        <f>F7*G7</f>
        <v>15</v>
      </c>
      <c r="I7" s="11">
        <f>E7*1</f>
        <v>2.2499999999999999E-2</v>
      </c>
      <c r="J7" s="45">
        <f>I7*H7</f>
        <v>0.33749999999999997</v>
      </c>
    </row>
    <row r="8" spans="1:10">
      <c r="A8" s="11">
        <v>2</v>
      </c>
      <c r="B8" s="1" t="s">
        <v>91</v>
      </c>
      <c r="C8" s="11">
        <v>15</v>
      </c>
      <c r="D8" s="11">
        <v>15</v>
      </c>
      <c r="E8" s="11">
        <f t="shared" ref="E8:E18" si="0">C8/100*D8/100</f>
        <v>2.2499999999999999E-2</v>
      </c>
      <c r="F8" s="11">
        <v>3.02</v>
      </c>
      <c r="G8" s="11">
        <v>6</v>
      </c>
      <c r="H8" s="45">
        <f t="shared" ref="H8:H16" si="1">F8*G8</f>
        <v>18.12</v>
      </c>
      <c r="I8" s="11">
        <f t="shared" ref="I8:I16" si="2">E8*1</f>
        <v>2.2499999999999999E-2</v>
      </c>
      <c r="J8" s="45">
        <f t="shared" ref="J8:J16" si="3">I8*H8</f>
        <v>0.40770000000000001</v>
      </c>
    </row>
    <row r="9" spans="1:10">
      <c r="A9" s="11">
        <v>3</v>
      </c>
      <c r="B9" s="1" t="s">
        <v>92</v>
      </c>
      <c r="C9" s="11">
        <v>15</v>
      </c>
      <c r="D9" s="11">
        <v>15</v>
      </c>
      <c r="E9" s="11">
        <f t="shared" si="0"/>
        <v>2.2499999999999999E-2</v>
      </c>
      <c r="F9" s="11">
        <v>1.37</v>
      </c>
      <c r="G9" s="11">
        <v>12</v>
      </c>
      <c r="H9" s="45">
        <f t="shared" si="1"/>
        <v>16.440000000000001</v>
      </c>
      <c r="I9" s="11">
        <f t="shared" si="2"/>
        <v>2.2499999999999999E-2</v>
      </c>
      <c r="J9" s="45">
        <f t="shared" si="3"/>
        <v>0.36990000000000001</v>
      </c>
    </row>
    <row r="10" spans="1:10">
      <c r="A10" s="11">
        <v>4</v>
      </c>
      <c r="B10" s="1" t="s">
        <v>93</v>
      </c>
      <c r="C10" s="11">
        <v>15</v>
      </c>
      <c r="D10" s="11">
        <v>15</v>
      </c>
      <c r="E10" s="11">
        <f t="shared" si="0"/>
        <v>2.2499999999999999E-2</v>
      </c>
      <c r="F10" s="11">
        <v>6.32</v>
      </c>
      <c r="G10" s="11">
        <v>3</v>
      </c>
      <c r="H10" s="45">
        <f t="shared" si="1"/>
        <v>18.96</v>
      </c>
      <c r="I10" s="11">
        <f t="shared" si="2"/>
        <v>2.2499999999999999E-2</v>
      </c>
      <c r="J10" s="45">
        <f t="shared" si="3"/>
        <v>0.42659999999999998</v>
      </c>
    </row>
    <row r="11" spans="1:10">
      <c r="A11" s="11">
        <v>5</v>
      </c>
      <c r="B11" s="1" t="s">
        <v>94</v>
      </c>
      <c r="C11" s="11">
        <v>10</v>
      </c>
      <c r="D11" s="11">
        <v>10</v>
      </c>
      <c r="E11" s="11">
        <f t="shared" si="0"/>
        <v>0.01</v>
      </c>
      <c r="F11" s="45">
        <v>1.6679999999999999</v>
      </c>
      <c r="G11" s="11">
        <v>1</v>
      </c>
      <c r="H11" s="45">
        <f t="shared" si="1"/>
        <v>1.6679999999999999</v>
      </c>
      <c r="I11" s="11">
        <f t="shared" si="2"/>
        <v>0.01</v>
      </c>
      <c r="J11" s="45">
        <f t="shared" si="3"/>
        <v>1.668E-2</v>
      </c>
    </row>
    <row r="12" spans="1:10">
      <c r="A12" s="11">
        <v>6</v>
      </c>
      <c r="B12" s="1" t="s">
        <v>105</v>
      </c>
      <c r="C12" s="11">
        <v>5</v>
      </c>
      <c r="D12" s="11">
        <v>15</v>
      </c>
      <c r="E12" s="11">
        <f t="shared" si="0"/>
        <v>7.4999999999999997E-3</v>
      </c>
      <c r="F12" s="11">
        <v>0.4</v>
      </c>
      <c r="G12" s="11">
        <v>6</v>
      </c>
      <c r="H12" s="45">
        <f t="shared" si="1"/>
        <v>2.4000000000000004</v>
      </c>
      <c r="I12" s="11">
        <f t="shared" si="2"/>
        <v>7.4999999999999997E-3</v>
      </c>
      <c r="J12" s="45">
        <f t="shared" si="3"/>
        <v>1.8000000000000002E-2</v>
      </c>
    </row>
    <row r="13" spans="1:10">
      <c r="A13" s="11">
        <v>7</v>
      </c>
      <c r="B13" s="1" t="s">
        <v>96</v>
      </c>
      <c r="C13" s="11">
        <v>5</v>
      </c>
      <c r="D13" s="11">
        <v>15</v>
      </c>
      <c r="E13" s="11">
        <f t="shared" si="0"/>
        <v>7.4999999999999997E-3</v>
      </c>
      <c r="F13" s="11">
        <v>4.2</v>
      </c>
      <c r="G13" s="11">
        <v>6</v>
      </c>
      <c r="H13" s="45">
        <f t="shared" si="1"/>
        <v>25.200000000000003</v>
      </c>
      <c r="I13" s="11">
        <f t="shared" si="2"/>
        <v>7.4999999999999997E-3</v>
      </c>
      <c r="J13" s="45">
        <f t="shared" si="3"/>
        <v>0.189</v>
      </c>
    </row>
    <row r="14" spans="1:10">
      <c r="A14" s="11">
        <v>8</v>
      </c>
      <c r="B14" s="1" t="s">
        <v>95</v>
      </c>
      <c r="C14" s="11">
        <v>5</v>
      </c>
      <c r="D14" s="11">
        <v>15</v>
      </c>
      <c r="E14" s="11">
        <f t="shared" si="0"/>
        <v>7.4999999999999997E-3</v>
      </c>
      <c r="F14" s="45">
        <f>SQRT($C$3^2+E2^2)</f>
        <v>3.2773965277335604</v>
      </c>
      <c r="G14" s="11">
        <v>12</v>
      </c>
      <c r="H14" s="45">
        <f t="shared" si="1"/>
        <v>39.328758332802721</v>
      </c>
      <c r="I14" s="11">
        <f t="shared" si="2"/>
        <v>7.4999999999999997E-3</v>
      </c>
      <c r="J14" s="45">
        <f t="shared" si="3"/>
        <v>0.29496568749602042</v>
      </c>
    </row>
    <row r="15" spans="1:10">
      <c r="A15" s="11">
        <v>9</v>
      </c>
      <c r="B15" s="1" t="s">
        <v>95</v>
      </c>
      <c r="C15" s="11">
        <v>5</v>
      </c>
      <c r="D15" s="11">
        <v>15</v>
      </c>
      <c r="E15" s="11">
        <f t="shared" si="0"/>
        <v>7.4999999999999997E-3</v>
      </c>
      <c r="F15" s="45">
        <f t="shared" ref="F15:F16" si="4">SQRT($C$3^2+E3^2)</f>
        <v>2.7110566205817244</v>
      </c>
      <c r="G15" s="11">
        <v>72</v>
      </c>
      <c r="H15" s="45">
        <f t="shared" si="1"/>
        <v>195.19607668188416</v>
      </c>
      <c r="I15" s="11">
        <f t="shared" si="2"/>
        <v>7.4999999999999997E-3</v>
      </c>
      <c r="J15" s="45">
        <f t="shared" si="3"/>
        <v>1.4639705751141312</v>
      </c>
    </row>
    <row r="16" spans="1:10">
      <c r="A16" s="11">
        <v>10</v>
      </c>
      <c r="B16" s="1" t="s">
        <v>95</v>
      </c>
      <c r="C16" s="11">
        <v>5</v>
      </c>
      <c r="D16" s="11">
        <v>15</v>
      </c>
      <c r="E16" s="11">
        <f t="shared" si="0"/>
        <v>7.4999999999999997E-3</v>
      </c>
      <c r="F16" s="45">
        <f t="shared" si="4"/>
        <v>1.9093959777898348</v>
      </c>
      <c r="G16" s="11">
        <v>30</v>
      </c>
      <c r="H16" s="45">
        <f t="shared" si="1"/>
        <v>57.281879333695045</v>
      </c>
      <c r="I16" s="11">
        <f t="shared" si="2"/>
        <v>7.4999999999999997E-3</v>
      </c>
      <c r="J16" s="45">
        <f t="shared" si="3"/>
        <v>0.4296140950027128</v>
      </c>
    </row>
    <row r="17" spans="1:10">
      <c r="A17" s="11">
        <v>11</v>
      </c>
      <c r="B17" s="1" t="s">
        <v>89</v>
      </c>
      <c r="C17" s="11">
        <v>2.5</v>
      </c>
      <c r="D17" s="11">
        <v>5</v>
      </c>
      <c r="E17" s="11">
        <f t="shared" si="0"/>
        <v>1.25E-3</v>
      </c>
      <c r="F17" s="45">
        <v>4.3449999999999998</v>
      </c>
      <c r="G17" s="11">
        <v>2</v>
      </c>
      <c r="H17" s="45">
        <f>F17*G17</f>
        <v>8.69</v>
      </c>
      <c r="I17" s="11">
        <f>E17*1</f>
        <v>1.25E-3</v>
      </c>
      <c r="J17" s="45">
        <f>I17*H17</f>
        <v>1.0862499999999999E-2</v>
      </c>
    </row>
    <row r="18" spans="1:10">
      <c r="A18" s="11">
        <v>12</v>
      </c>
      <c r="B18" s="13" t="s">
        <v>88</v>
      </c>
      <c r="C18" s="47">
        <v>2.5</v>
      </c>
      <c r="D18" s="47">
        <v>10</v>
      </c>
      <c r="E18" s="11">
        <f t="shared" si="0"/>
        <v>2.5000000000000001E-3</v>
      </c>
      <c r="F18" s="47"/>
      <c r="G18" s="47"/>
      <c r="H18" s="12">
        <f>23.9+22.3+21.4+20.5+19.6+18.7+17.8+16.9+16+15.1+14.2+13.3+12.4+11.5+10.6+9.7+8.8+7.9+7+6.1+5.2+4.3+3.4+2.5+1.6+0.7</f>
        <v>311.39999999999998</v>
      </c>
      <c r="I18" s="11">
        <f>E18*1</f>
        <v>2.5000000000000001E-3</v>
      </c>
      <c r="J18" s="45">
        <f>I18*H18</f>
        <v>0.77849999999999997</v>
      </c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45">
        <f>SUM(J7:J18)</f>
        <v>4.7432928576128646</v>
      </c>
    </row>
    <row r="20" spans="1:10">
      <c r="J20" s="59"/>
    </row>
    <row r="21" spans="1:10">
      <c r="J21" s="5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J21"/>
  <sheetViews>
    <sheetView topLeftCell="A4" workbookViewId="0">
      <selection activeCell="H19" sqref="H19"/>
    </sheetView>
  </sheetViews>
  <sheetFormatPr defaultRowHeight="15"/>
  <cols>
    <col min="1" max="1" width="7" bestFit="1" customWidth="1"/>
    <col min="2" max="2" width="12.85546875" bestFit="1" customWidth="1"/>
    <col min="3" max="3" width="6" bestFit="1" customWidth="1"/>
    <col min="4" max="4" width="5.7109375" bestFit="1" customWidth="1"/>
    <col min="5" max="5" width="10.7109375" bestFit="1" customWidth="1"/>
    <col min="6" max="6" width="10.42578125" bestFit="1" customWidth="1"/>
    <col min="7" max="7" width="6.140625" bestFit="1" customWidth="1"/>
    <col min="8" max="8" width="8.5703125" customWidth="1"/>
    <col min="9" max="9" width="9.7109375" bestFit="1" customWidth="1"/>
    <col min="10" max="10" width="10.7109375" bestFit="1" customWidth="1"/>
  </cols>
  <sheetData>
    <row r="2" spans="1:10">
      <c r="E2">
        <v>2.948</v>
      </c>
    </row>
    <row r="3" spans="1:10">
      <c r="C3">
        <v>1.4319999999999999</v>
      </c>
      <c r="E3">
        <v>2.302</v>
      </c>
    </row>
    <row r="4" spans="1:10">
      <c r="E4">
        <v>1.2629999999999999</v>
      </c>
    </row>
    <row r="6" spans="1:10">
      <c r="A6" s="1" t="s">
        <v>97</v>
      </c>
      <c r="B6" s="1" t="s">
        <v>98</v>
      </c>
      <c r="C6" s="1" t="s">
        <v>99</v>
      </c>
      <c r="D6" s="1" t="s">
        <v>100</v>
      </c>
      <c r="E6" s="1" t="s">
        <v>101</v>
      </c>
      <c r="F6" s="1" t="s">
        <v>102</v>
      </c>
      <c r="G6" s="1" t="s">
        <v>86</v>
      </c>
      <c r="H6" s="11" t="s">
        <v>87</v>
      </c>
      <c r="I6" s="1" t="s">
        <v>103</v>
      </c>
      <c r="J6" s="1" t="s">
        <v>104</v>
      </c>
    </row>
    <row r="7" spans="1:10">
      <c r="A7" s="11">
        <v>1</v>
      </c>
      <c r="B7" s="1" t="s">
        <v>90</v>
      </c>
      <c r="C7" s="11">
        <v>15</v>
      </c>
      <c r="D7" s="11">
        <v>15</v>
      </c>
      <c r="E7" s="11">
        <f>C7/100*D7/100</f>
        <v>2.2499999999999999E-2</v>
      </c>
      <c r="F7" s="11">
        <v>2.1</v>
      </c>
      <c r="G7" s="11">
        <v>5</v>
      </c>
      <c r="H7" s="45">
        <f>F7*G7</f>
        <v>10.5</v>
      </c>
      <c r="I7" s="11">
        <f>E7*1</f>
        <v>2.2499999999999999E-2</v>
      </c>
      <c r="J7" s="45">
        <f>I7*H7</f>
        <v>0.23624999999999999</v>
      </c>
    </row>
    <row r="8" spans="1:10">
      <c r="A8" s="11">
        <v>2</v>
      </c>
      <c r="B8" s="1" t="s">
        <v>90</v>
      </c>
      <c r="C8" s="11">
        <v>15</v>
      </c>
      <c r="D8" s="11">
        <v>15</v>
      </c>
      <c r="E8" s="11">
        <f t="shared" ref="E8:E9" si="0">C8/100*D8/100</f>
        <v>2.2499999999999999E-2</v>
      </c>
      <c r="F8" s="11">
        <v>2.35</v>
      </c>
      <c r="G8" s="11">
        <v>2</v>
      </c>
      <c r="H8" s="45">
        <f t="shared" ref="H8:H9" si="1">F8*G8</f>
        <v>4.7</v>
      </c>
      <c r="I8" s="11">
        <f t="shared" ref="I8:I9" si="2">E8*1</f>
        <v>2.2499999999999999E-2</v>
      </c>
      <c r="J8" s="45">
        <f t="shared" ref="J8:J9" si="3">I8*H8</f>
        <v>0.10575</v>
      </c>
    </row>
    <row r="9" spans="1:10">
      <c r="A9" s="11">
        <v>3</v>
      </c>
      <c r="B9" s="1" t="s">
        <v>90</v>
      </c>
      <c r="C9" s="11">
        <v>15</v>
      </c>
      <c r="D9" s="11">
        <v>15</v>
      </c>
      <c r="E9" s="11">
        <f t="shared" si="0"/>
        <v>2.2499999999999999E-2</v>
      </c>
      <c r="F9" s="11">
        <v>2.6</v>
      </c>
      <c r="G9" s="11">
        <v>5</v>
      </c>
      <c r="H9" s="45">
        <f t="shared" si="1"/>
        <v>13</v>
      </c>
      <c r="I9" s="11">
        <f t="shared" si="2"/>
        <v>2.2499999999999999E-2</v>
      </c>
      <c r="J9" s="45">
        <f t="shared" si="3"/>
        <v>0.29249999999999998</v>
      </c>
    </row>
    <row r="10" spans="1:10">
      <c r="A10" s="11">
        <v>2</v>
      </c>
      <c r="B10" s="1" t="s">
        <v>91</v>
      </c>
      <c r="C10" s="11">
        <v>15</v>
      </c>
      <c r="D10" s="11">
        <v>15</v>
      </c>
      <c r="E10" s="11">
        <f t="shared" ref="E10:E16" si="4">C10/100*D10/100</f>
        <v>2.2499999999999999E-2</v>
      </c>
      <c r="F10" s="11">
        <f>7.9*4+2.9*2+2.64*2</f>
        <v>42.68</v>
      </c>
      <c r="G10" s="11"/>
      <c r="H10" s="45">
        <f>F10</f>
        <v>42.68</v>
      </c>
      <c r="I10" s="11">
        <f t="shared" ref="I10:I15" si="5">E10*1</f>
        <v>2.2499999999999999E-2</v>
      </c>
      <c r="J10" s="45">
        <f t="shared" ref="J10:J15" si="6">I10*H10</f>
        <v>0.96029999999999993</v>
      </c>
    </row>
    <row r="11" spans="1:10">
      <c r="A11" s="11">
        <v>3</v>
      </c>
      <c r="B11" s="1" t="s">
        <v>92</v>
      </c>
      <c r="C11" s="11">
        <v>10</v>
      </c>
      <c r="D11" s="11">
        <v>10</v>
      </c>
      <c r="E11" s="11">
        <f t="shared" si="4"/>
        <v>0.01</v>
      </c>
      <c r="F11" s="11">
        <v>0.85</v>
      </c>
      <c r="G11" s="11">
        <v>8</v>
      </c>
      <c r="H11" s="45">
        <f t="shared" ref="H11:H15" si="7">F11*G11</f>
        <v>6.8</v>
      </c>
      <c r="I11" s="11">
        <f t="shared" si="5"/>
        <v>0.01</v>
      </c>
      <c r="J11" s="45">
        <f t="shared" si="6"/>
        <v>6.8000000000000005E-2</v>
      </c>
    </row>
    <row r="12" spans="1:10">
      <c r="A12" s="11">
        <v>5</v>
      </c>
      <c r="B12" s="1" t="s">
        <v>92</v>
      </c>
      <c r="C12" s="11">
        <v>10</v>
      </c>
      <c r="D12" s="11">
        <v>10</v>
      </c>
      <c r="E12" s="11">
        <f t="shared" si="4"/>
        <v>0.01</v>
      </c>
      <c r="F12" s="45">
        <v>2.54</v>
      </c>
      <c r="G12" s="11">
        <v>2</v>
      </c>
      <c r="H12" s="45">
        <f t="shared" si="7"/>
        <v>5.08</v>
      </c>
      <c r="I12" s="11">
        <f t="shared" si="5"/>
        <v>0.01</v>
      </c>
      <c r="J12" s="45">
        <f t="shared" si="6"/>
        <v>5.0800000000000005E-2</v>
      </c>
    </row>
    <row r="13" spans="1:10">
      <c r="A13" s="11">
        <v>6</v>
      </c>
      <c r="B13" s="1" t="s">
        <v>92</v>
      </c>
      <c r="C13" s="11">
        <v>10</v>
      </c>
      <c r="D13" s="11">
        <v>10</v>
      </c>
      <c r="E13" s="11">
        <f t="shared" ref="E13:E14" si="8">C13/100*D13/100</f>
        <v>0.01</v>
      </c>
      <c r="F13" s="45">
        <v>2.1800000000000002</v>
      </c>
      <c r="G13" s="11">
        <v>2</v>
      </c>
      <c r="H13" s="45">
        <f t="shared" ref="H13:H14" si="9">F13*G13</f>
        <v>4.3600000000000003</v>
      </c>
      <c r="I13" s="11">
        <f t="shared" ref="I13:I14" si="10">E13*1</f>
        <v>0.01</v>
      </c>
      <c r="J13" s="45">
        <f t="shared" ref="J13:J14" si="11">I13*H13</f>
        <v>4.3600000000000007E-2</v>
      </c>
    </row>
    <row r="14" spans="1:10">
      <c r="A14" s="11">
        <v>7</v>
      </c>
      <c r="B14" s="1" t="s">
        <v>92</v>
      </c>
      <c r="C14" s="11">
        <v>10</v>
      </c>
      <c r="D14" s="11">
        <v>10</v>
      </c>
      <c r="E14" s="11">
        <f t="shared" si="8"/>
        <v>0.01</v>
      </c>
      <c r="F14" s="45">
        <v>2.58</v>
      </c>
      <c r="G14" s="11">
        <v>2</v>
      </c>
      <c r="H14" s="45">
        <f t="shared" si="9"/>
        <v>5.16</v>
      </c>
      <c r="I14" s="11">
        <f t="shared" si="10"/>
        <v>0.01</v>
      </c>
      <c r="J14" s="45">
        <f t="shared" si="11"/>
        <v>5.16E-2</v>
      </c>
    </row>
    <row r="15" spans="1:10">
      <c r="A15" s="11">
        <v>8</v>
      </c>
      <c r="B15" s="1" t="s">
        <v>95</v>
      </c>
      <c r="C15" s="11">
        <v>5</v>
      </c>
      <c r="D15" s="11">
        <v>15</v>
      </c>
      <c r="E15" s="11">
        <f t="shared" si="4"/>
        <v>7.4999999999999997E-3</v>
      </c>
      <c r="F15" s="45">
        <v>3.9</v>
      </c>
      <c r="G15" s="11">
        <v>14</v>
      </c>
      <c r="H15" s="45">
        <f t="shared" si="7"/>
        <v>54.6</v>
      </c>
      <c r="I15" s="11">
        <f t="shared" si="5"/>
        <v>7.4999999999999997E-3</v>
      </c>
      <c r="J15" s="45">
        <f t="shared" si="6"/>
        <v>0.40949999999999998</v>
      </c>
    </row>
    <row r="16" spans="1:10">
      <c r="A16" s="11">
        <v>11</v>
      </c>
      <c r="B16" s="1" t="s">
        <v>107</v>
      </c>
      <c r="C16" s="11">
        <v>2.5</v>
      </c>
      <c r="D16" s="11">
        <v>5</v>
      </c>
      <c r="E16" s="11">
        <f t="shared" si="4"/>
        <v>1.25E-3</v>
      </c>
      <c r="F16" s="45">
        <v>3.9</v>
      </c>
      <c r="G16" s="11">
        <v>14</v>
      </c>
      <c r="H16" s="45">
        <f>F16*G16</f>
        <v>54.6</v>
      </c>
      <c r="I16" s="11">
        <f>E16*1</f>
        <v>1.25E-3</v>
      </c>
      <c r="J16" s="45">
        <f>I16*H16</f>
        <v>6.8250000000000005E-2</v>
      </c>
    </row>
    <row r="17" spans="1:10">
      <c r="A17" s="11">
        <v>11</v>
      </c>
      <c r="B17" s="13" t="s">
        <v>88</v>
      </c>
      <c r="C17" s="47">
        <v>2.5</v>
      </c>
      <c r="D17" s="47">
        <v>10</v>
      </c>
      <c r="E17" s="11">
        <f t="shared" ref="E17" si="12">C17/100*D17/100</f>
        <v>2.5000000000000001E-3</v>
      </c>
      <c r="F17" s="45">
        <v>8.8000000000000007</v>
      </c>
      <c r="G17" s="11">
        <v>14</v>
      </c>
      <c r="H17" s="12">
        <f>23.9+22.3+21.4+20.5+19.6+18.7+17.8+16.9+16+15.1+14.2+13.3+12.4+11.5+10.6+9.7+8.8+7.9+7+6.1+5.2+4.3+3.4+2.5+1.6+0.7</f>
        <v>311.39999999999998</v>
      </c>
      <c r="I17" s="11">
        <f>E17*1</f>
        <v>2.5000000000000001E-3</v>
      </c>
      <c r="J17" s="45">
        <f>I17*H17</f>
        <v>0.77849999999999997</v>
      </c>
    </row>
    <row r="18" spans="1:10">
      <c r="A18" s="11">
        <v>12</v>
      </c>
      <c r="B18" s="13" t="s">
        <v>106</v>
      </c>
      <c r="C18" s="47">
        <v>2.5</v>
      </c>
      <c r="D18" s="47">
        <v>10</v>
      </c>
      <c r="E18" s="11">
        <f>C18/100*D18/100</f>
        <v>2.5000000000000001E-3</v>
      </c>
      <c r="F18" s="45"/>
      <c r="G18" s="11"/>
      <c r="H18" s="12">
        <f>(2.1*8*14+2.4*2.9*14*2)*2+8.8*3.8*14</f>
        <v>1328.3200000000002</v>
      </c>
      <c r="I18" s="11">
        <f>E18*1</f>
        <v>2.5000000000000001E-3</v>
      </c>
      <c r="J18" s="45">
        <f>I18*H18</f>
        <v>3.3208000000000006</v>
      </c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45">
        <f>SUM(J7:J18)</f>
        <v>6.3858500000000014</v>
      </c>
    </row>
    <row r="20" spans="1:10">
      <c r="J20" s="59"/>
    </row>
    <row r="21" spans="1:10">
      <c r="J21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apdare</vt:lpstr>
      <vt:lpstr>durvis</vt:lpstr>
      <vt:lpstr>logi</vt:lpstr>
      <vt:lpstr>lapene</vt:lpstr>
      <vt:lpstr>NOJUME</vt:lpstr>
    </vt:vector>
  </TitlesOfParts>
  <Company>SIA namejs Plus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sarmite</dc:creator>
  <cp:lastModifiedBy>User</cp:lastModifiedBy>
  <dcterms:created xsi:type="dcterms:W3CDTF">2013-03-07T11:15:18Z</dcterms:created>
  <dcterms:modified xsi:type="dcterms:W3CDTF">2013-05-02T13:30:33Z</dcterms:modified>
</cp:coreProperties>
</file>